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joaomalta\Downloads\"/>
    </mc:Choice>
  </mc:AlternateContent>
  <xr:revisionPtr revIDLastSave="0" documentId="8_{14327939-61BE-4A91-AA1B-88A1A941A7ED}" xr6:coauthVersionLast="36" xr6:coauthVersionMax="36" xr10:uidLastSave="{00000000-0000-0000-0000-000000000000}"/>
  <bookViews>
    <workbookView xWindow="-105" yWindow="-105" windowWidth="19425" windowHeight="10425" tabRatio="906" firstSheet="1" activeTab="1" xr2:uid="{00000000-000D-0000-FFFF-FFFF00000000}"/>
  </bookViews>
  <sheets>
    <sheet name="Rendto do Trab_750 e 925 e 1000" sheetId="3" state="hidden" r:id="rId1"/>
    <sheet name="Cálculos" sheetId="16" r:id="rId2"/>
  </sheets>
  <externalReferences>
    <externalReference r:id="rId3"/>
  </externalReferences>
  <definedNames>
    <definedName name="_xlnm.Print_Area" localSheetId="0">'Rendto do Trab_750 e 925 e 1000'!$A$1:$Q$155</definedName>
    <definedName name="RF_Pensões">'[1]trabalho dependente (2012)'!#REF!</definedName>
    <definedName name="TAB">'[1]trabalho dependente (2012)'!#REF!</definedName>
    <definedName name="Table20">#REF!</definedName>
    <definedName name="Table21">#REF!</definedName>
    <definedName name="Z_4A59CFF7_D635_4C1A_BBE7_B201AEE8AAAA_.wvu.Cols" localSheetId="0" hidden="1">'Rendto do Trab_750 e 925 e 1000'!$D:$D,'Rendto do Trab_750 e 925 e 1000'!$I:$I,'Rendto do Trab_750 e 925 e 1000'!$N:$N,'Rendto do Trab_750 e 925 e 1000'!$R:$S</definedName>
    <definedName name="Z_4A59CFF7_D635_4C1A_BBE7_B201AEE8AAAA_.wvu.PrintArea" localSheetId="0" hidden="1">'Rendto do Trab_750 e 925 e 1000'!$A$1:$Q$155</definedName>
    <definedName name="Z_4A59CFF7_D635_4C1A_BBE7_B201AEE8AAAA_.wvu.Rows" localSheetId="0" hidden="1">'Rendto do Trab_750 e 925 e 1000'!$11:$11,'Rendto do Trab_750 e 925 e 1000'!$26:$26,'Rendto do Trab_750 e 925 e 1000'!$139:$139,'Rendto do Trab_750 e 925 e 1000'!$154:$154,'Rendto do Trab_750 e 925 e 1000'!$169:$169,'Rendto do Trab_750 e 925 e 1000'!$179:$189</definedName>
    <definedName name="Z_56FACD3C_9001_4055_A8AA_B3B94EAD2792_.wvu.Cols" localSheetId="0" hidden="1">'Rendto do Trab_750 e 925 e 1000'!$D:$D,'Rendto do Trab_750 e 925 e 1000'!$I:$I,'Rendto do Trab_750 e 925 e 1000'!$N:$N,'Rendto do Trab_750 e 925 e 1000'!$R:$S</definedName>
    <definedName name="Z_56FACD3C_9001_4055_A8AA_B3B94EAD2792_.wvu.PrintArea" localSheetId="0" hidden="1">'Rendto do Trab_750 e 925 e 1000'!$A$1:$Q$155</definedName>
    <definedName name="Z_56FACD3C_9001_4055_A8AA_B3B94EAD2792_.wvu.Rows" localSheetId="0" hidden="1">'Rendto do Trab_750 e 925 e 1000'!$11:$11,'Rendto do Trab_750 e 925 e 1000'!$26:$26,'Rendto do Trab_750 e 925 e 1000'!$139:$139,'Rendto do Trab_750 e 925 e 1000'!$154:$154,'Rendto do Trab_750 e 925 e 1000'!$169:$169,'Rendto do Trab_750 e 925 e 1000'!$179:$189</definedName>
    <definedName name="Z_581F33E2_4A4B_496B_8B2E_722B7C38F384_.wvu.Cols" localSheetId="0" hidden="1">'Rendto do Trab_750 e 925 e 1000'!$D:$D,'Rendto do Trab_750 e 925 e 1000'!$I:$I,'Rendto do Trab_750 e 925 e 1000'!$N:$N,'Rendto do Trab_750 e 925 e 1000'!$R:$S</definedName>
    <definedName name="Z_581F33E2_4A4B_496B_8B2E_722B7C38F384_.wvu.PrintArea" localSheetId="0" hidden="1">'Rendto do Trab_750 e 925 e 1000'!$A$1:$Q$155</definedName>
    <definedName name="Z_581F33E2_4A4B_496B_8B2E_722B7C38F384_.wvu.Rows" localSheetId="0" hidden="1">'Rendto do Trab_750 e 925 e 1000'!$11:$11,'Rendto do Trab_750 e 925 e 1000'!$26:$26,'Rendto do Trab_750 e 925 e 1000'!$139:$139,'Rendto do Trab_750 e 925 e 1000'!$154:$154,'Rendto do Trab_750 e 925 e 1000'!$169:$169,'Rendto do Trab_750 e 925 e 1000'!$179:$189</definedName>
    <definedName name="Z_95F369EB_44AD_4D1E_9BB3_2EC613DAAB38_.wvu.Cols" localSheetId="0" hidden="1">'Rendto do Trab_750 e 925 e 1000'!$D:$D,'Rendto do Trab_750 e 925 e 1000'!$I:$I,'Rendto do Trab_750 e 925 e 1000'!$N:$N,'Rendto do Trab_750 e 925 e 1000'!$R:$S</definedName>
    <definedName name="Z_95F369EB_44AD_4D1E_9BB3_2EC613DAAB38_.wvu.PrintArea" localSheetId="0" hidden="1">'Rendto do Trab_750 e 925 e 1000'!$A$1:$Q$155</definedName>
    <definedName name="Z_95F369EB_44AD_4D1E_9BB3_2EC613DAAB38_.wvu.Rows" localSheetId="0" hidden="1">'Rendto do Trab_750 e 925 e 1000'!$11:$11,'Rendto do Trab_750 e 925 e 1000'!$26:$26,'Rendto do Trab_750 e 925 e 1000'!$139:$139,'Rendto do Trab_750 e 925 e 1000'!$154:$154,'Rendto do Trab_750 e 925 e 1000'!$169:$169,'Rendto do Trab_750 e 925 e 1000'!$179:$189</definedName>
    <definedName name="Z_A48963CF_4977_458C_9D3B_4D6252DE1151_.wvu.Cols" localSheetId="0" hidden="1">'Rendto do Trab_750 e 925 e 1000'!$D:$D,'Rendto do Trab_750 e 925 e 1000'!$I:$I,'Rendto do Trab_750 e 925 e 1000'!$N:$N,'Rendto do Trab_750 e 925 e 1000'!$R:$S</definedName>
    <definedName name="Z_A48963CF_4977_458C_9D3B_4D6252DE1151_.wvu.PrintArea" localSheetId="0" hidden="1">'Rendto do Trab_750 e 925 e 1000'!$A$1:$Q$155</definedName>
    <definedName name="Z_A48963CF_4977_458C_9D3B_4D6252DE1151_.wvu.Rows" localSheetId="0" hidden="1">'Rendto do Trab_750 e 925 e 1000'!$11:$11,'Rendto do Trab_750 e 925 e 1000'!$26:$26,'Rendto do Trab_750 e 925 e 1000'!$139:$139,'Rendto do Trab_750 e 925 e 1000'!$154:$154,'Rendto do Trab_750 e 925 e 1000'!$169:$169,'Rendto do Trab_750 e 925 e 1000'!$179:$189</definedName>
    <definedName name="Z_C3FC3C76_D3C0_4F41_8D0D_D5CFAFA57C4E_.wvu.Cols" localSheetId="0" hidden="1">'Rendto do Trab_750 e 925 e 1000'!$D:$D,'Rendto do Trab_750 e 925 e 1000'!$I:$I,'Rendto do Trab_750 e 925 e 1000'!$N:$N,'Rendto do Trab_750 e 925 e 1000'!$R:$S</definedName>
    <definedName name="Z_C3FC3C76_D3C0_4F41_8D0D_D5CFAFA57C4E_.wvu.PrintArea" localSheetId="0" hidden="1">'Rendto do Trab_750 e 925 e 1000'!$A$1:$Q$155</definedName>
    <definedName name="Z_C3FC3C76_D3C0_4F41_8D0D_D5CFAFA57C4E_.wvu.Rows" localSheetId="0" hidden="1">'Rendto do Trab_750 e 925 e 1000'!$11:$11,'Rendto do Trab_750 e 925 e 1000'!$26:$26,'Rendto do Trab_750 e 925 e 1000'!$139:$139,'Rendto do Trab_750 e 925 e 1000'!$154:$154,'Rendto do Trab_750 e 925 e 1000'!$169:$169,'Rendto do Trab_750 e 925 e 1000'!$179:$189</definedName>
    <definedName name="Z_F094A2D5_50C3_47EB_9FF5_8DD980D2D44F_.wvu.Cols" localSheetId="0" hidden="1">'Rendto do Trab_750 e 925 e 1000'!$D:$D,'Rendto do Trab_750 e 925 e 1000'!$I:$I,'Rendto do Trab_750 e 925 e 1000'!$N:$N,'Rendto do Trab_750 e 925 e 1000'!$R:$S</definedName>
    <definedName name="Z_F094A2D5_50C3_47EB_9FF5_8DD980D2D44F_.wvu.PrintArea" localSheetId="0" hidden="1">'Rendto do Trab_750 e 925 e 1000'!$A$1:$Q$155</definedName>
    <definedName name="Z_F094A2D5_50C3_47EB_9FF5_8DD980D2D44F_.wvu.Rows" localSheetId="0" hidden="1">'Rendto do Trab_750 e 925 e 1000'!$11:$11,'Rendto do Trab_750 e 925 e 1000'!$26:$26,'Rendto do Trab_750 e 925 e 1000'!$139:$139,'Rendto do Trab_750 e 925 e 1000'!$154:$154,'Rendto do Trab_750 e 925 e 1000'!$169:$169,'Rendto do Trab_750 e 925 e 1000'!$179:$189</definedName>
  </definedNames>
  <calcPr calcId="191028"/>
  <customWorkbookViews>
    <customWorkbookView name="Joana Aranda freitas - Personal View" guid="{56FACD3C-9001-4055-A8AA-B3B94EAD2792}" mergeInterval="0" personalView="1" maximized="1" xWindow="-8" yWindow="-8" windowWidth="1382" windowHeight="744" tabRatio="969" activeSheetId="7"/>
    <customWorkbookView name="Marta G Neto - Personal View" guid="{581F33E2-4A4B-496B-8B2E-722B7C38F384}" mergeInterval="0" personalView="1" maximized="1" xWindow="-8" yWindow="-8" windowWidth="1382" windowHeight="744" tabRatio="969" activeSheetId="8"/>
    <customWorkbookView name="Bruno M Silva - Personal View" guid="{A48963CF-4977-458C-9D3B-4D6252DE1151}" mergeInterval="0" personalView="1" xWindow="235" yWindow="10" windowWidth="627" windowHeight="699" activeSheetId="3"/>
    <customWorkbookView name="Henrique Brito e Faro - Personal View" guid="{95F369EB-44AD-4D1E-9BB3-2EC613DAAB38}" mergeInterval="0" personalView="1" maximized="1" xWindow="-11" yWindow="-11" windowWidth="1942" windowHeight="1042" activeSheetId="4"/>
    <customWorkbookView name="Joana M Vivas - Personal View" guid="{F094A2D5-50C3-47EB-9FF5-8DD980D2D44F}" mergeInterval="0" personalView="1" maximized="1" xWindow="-9" yWindow="-9" windowWidth="1938" windowHeight="1050" tabRatio="849" activeSheetId="4" showComments="commIndAndComment"/>
    <customWorkbookView name="Ines Alves - Personal View" guid="{4A59CFF7-D635-4C1A-BBE7-B201AEE8AAAA}" mergeInterval="0" personalView="1" maximized="1" xWindow="-9" yWindow="-9" windowWidth="1938" windowHeight="1050" activeSheetId="7" showComments="commIndAndComment"/>
    <customWorkbookView name="Nitusha Anup - Personal View" guid="{C3FC3C76-D3C0-4F41-8D0D-D5CFAFA57C4E}" mergeInterval="0" personalView="1" maximized="1" xWindow="-9" yWindow="-9" windowWidth="1938" windowHeight="1050" activeSheetId="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9" i="16" l="1"/>
  <c r="J61" i="16"/>
  <c r="I61" i="16"/>
  <c r="J60" i="16"/>
  <c r="J54" i="16"/>
  <c r="I54" i="16"/>
  <c r="J53" i="16"/>
  <c r="I40" i="16"/>
  <c r="J40" i="16" s="1"/>
  <c r="J47" i="16"/>
  <c r="I47" i="16"/>
  <c r="J32" i="16"/>
  <c r="O193" i="3" l="1"/>
  <c r="O207" i="3"/>
  <c r="O221" i="3"/>
  <c r="O235" i="3"/>
  <c r="O249" i="3"/>
  <c r="F240" i="3"/>
  <c r="F226" i="3"/>
  <c r="F212" i="3"/>
  <c r="F166" i="3"/>
  <c r="F175" i="3" s="1"/>
  <c r="E166" i="3"/>
  <c r="E192" i="3" s="1"/>
  <c r="F160" i="3"/>
  <c r="F158" i="3"/>
  <c r="F152" i="3"/>
  <c r="F153" i="3" s="1"/>
  <c r="F155" i="3" s="1"/>
  <c r="E160" i="3"/>
  <c r="E152" i="3"/>
  <c r="E153" i="3" s="1"/>
  <c r="E155" i="3" s="1"/>
  <c r="F128" i="3"/>
  <c r="F114" i="3"/>
  <c r="F84" i="3"/>
  <c r="F85" i="3" s="1"/>
  <c r="F87" i="3" s="1"/>
  <c r="F52" i="3"/>
  <c r="F66" i="3" s="1"/>
  <c r="F67" i="3" s="1"/>
  <c r="F53" i="3"/>
  <c r="F54" i="3" s="1"/>
  <c r="F55" i="3" s="1"/>
  <c r="F56" i="3" s="1"/>
  <c r="E52" i="3"/>
  <c r="E66" i="3" s="1"/>
  <c r="F8" i="3"/>
  <c r="F23" i="3" s="1"/>
  <c r="F25" i="3" s="1"/>
  <c r="F27" i="3" s="1"/>
  <c r="E8" i="3"/>
  <c r="E23" i="3" s="1"/>
  <c r="E32" i="3" s="1"/>
  <c r="E46" i="3" s="1"/>
  <c r="E60" i="3" s="1"/>
  <c r="E74" i="3" s="1"/>
  <c r="F9" i="3" l="1"/>
  <c r="F10" i="3" s="1"/>
  <c r="F12" i="3" s="1"/>
  <c r="F13" i="3" s="1"/>
  <c r="F17" i="3"/>
  <c r="E38" i="3"/>
  <c r="E39" i="3" s="1"/>
  <c r="E40" i="3" s="1"/>
  <c r="E41" i="3" s="1"/>
  <c r="E42" i="3" s="1"/>
  <c r="E43" i="3" s="1"/>
  <c r="E45" i="3" s="1"/>
  <c r="E47" i="3" s="1"/>
  <c r="F38" i="3"/>
  <c r="F80" i="3"/>
  <c r="F167" i="3"/>
  <c r="F168" i="3" s="1"/>
  <c r="F170" i="3" s="1"/>
  <c r="F171" i="3" s="1"/>
  <c r="F172" i="3" s="1"/>
  <c r="F174" i="3" s="1"/>
  <c r="F176" i="3" s="1"/>
  <c r="E200" i="3"/>
  <c r="E193" i="3"/>
  <c r="E194" i="3" s="1"/>
  <c r="E195" i="3" s="1"/>
  <c r="E206" i="3"/>
  <c r="E220" i="3" s="1"/>
  <c r="E228" i="3" s="1"/>
  <c r="F192" i="3"/>
  <c r="E167" i="3"/>
  <c r="E168" i="3" s="1"/>
  <c r="E170" i="3" s="1"/>
  <c r="E175" i="3"/>
  <c r="F156" i="3"/>
  <c r="F157" i="3" s="1"/>
  <c r="F159" i="3" s="1"/>
  <c r="F161" i="3" s="1"/>
  <c r="E156" i="3"/>
  <c r="E157" i="3" s="1"/>
  <c r="E159" i="3" s="1"/>
  <c r="E161" i="3" s="1"/>
  <c r="F68" i="3"/>
  <c r="F69" i="3" s="1"/>
  <c r="E67" i="3"/>
  <c r="E68" i="3" s="1"/>
  <c r="E69" i="3" s="1"/>
  <c r="F57" i="3"/>
  <c r="F59" i="3" s="1"/>
  <c r="E53" i="3"/>
  <c r="E54" i="3" s="1"/>
  <c r="E55" i="3" s="1"/>
  <c r="F28" i="3"/>
  <c r="F29" i="3" s="1"/>
  <c r="F31" i="3" s="1"/>
  <c r="F32" i="3"/>
  <c r="F46" i="3" s="1"/>
  <c r="F60" i="3" s="1"/>
  <c r="F74" i="3" s="1"/>
  <c r="F88" i="3" s="1"/>
  <c r="F102" i="3" s="1"/>
  <c r="E25" i="3"/>
  <c r="E27" i="3" s="1"/>
  <c r="E17" i="3"/>
  <c r="O95" i="3"/>
  <c r="F14" i="3" l="1"/>
  <c r="F16" i="3" s="1"/>
  <c r="F18" i="3" s="1"/>
  <c r="E214" i="3"/>
  <c r="E234" i="3"/>
  <c r="E235" i="3" s="1"/>
  <c r="E236" i="3" s="1"/>
  <c r="E237" i="3" s="1"/>
  <c r="E238" i="3" s="1"/>
  <c r="E239" i="3" s="1"/>
  <c r="E241" i="3" s="1"/>
  <c r="E221" i="3"/>
  <c r="E222" i="3" s="1"/>
  <c r="E223" i="3" s="1"/>
  <c r="E224" i="3" s="1"/>
  <c r="E225" i="3" s="1"/>
  <c r="E227" i="3" s="1"/>
  <c r="E229" i="3" s="1"/>
  <c r="F82" i="3"/>
  <c r="F94" i="3"/>
  <c r="F39" i="3"/>
  <c r="F40" i="3" s="1"/>
  <c r="F41" i="3" s="1"/>
  <c r="F61" i="3"/>
  <c r="E207" i="3"/>
  <c r="E208" i="3" s="1"/>
  <c r="E209" i="3" s="1"/>
  <c r="E211" i="3" s="1"/>
  <c r="E213" i="3" s="1"/>
  <c r="F200" i="3"/>
  <c r="F193" i="3"/>
  <c r="F194" i="3" s="1"/>
  <c r="F195" i="3" s="1"/>
  <c r="F196" i="3" s="1"/>
  <c r="F197" i="3" s="1"/>
  <c r="F206" i="3"/>
  <c r="F89" i="3"/>
  <c r="E196" i="3"/>
  <c r="E197" i="3" s="1"/>
  <c r="E171" i="3"/>
  <c r="E172" i="3" s="1"/>
  <c r="E174" i="3" s="1"/>
  <c r="E176" i="3" s="1"/>
  <c r="F70" i="3"/>
  <c r="F71" i="3" s="1"/>
  <c r="F73" i="3" s="1"/>
  <c r="F75" i="3" s="1"/>
  <c r="E70" i="3"/>
  <c r="E71" i="3" s="1"/>
  <c r="E73" i="3" s="1"/>
  <c r="E75" i="3" s="1"/>
  <c r="E56" i="3"/>
  <c r="E57" i="3" s="1"/>
  <c r="E59" i="3" s="1"/>
  <c r="E61" i="3" s="1"/>
  <c r="F33" i="3"/>
  <c r="E28" i="3"/>
  <c r="E29" i="3" s="1"/>
  <c r="E31" i="3" s="1"/>
  <c r="E33" i="3" s="1"/>
  <c r="O196" i="3"/>
  <c r="K234" i="3"/>
  <c r="K242" i="3" s="1"/>
  <c r="J234" i="3"/>
  <c r="K220" i="3"/>
  <c r="J220" i="3"/>
  <c r="J228" i="3" s="1"/>
  <c r="K206" i="3"/>
  <c r="K214" i="3" s="1"/>
  <c r="J206" i="3"/>
  <c r="J214" i="3" s="1"/>
  <c r="K195" i="3"/>
  <c r="J195" i="3"/>
  <c r="K192" i="3"/>
  <c r="K200" i="3" s="1"/>
  <c r="J192" i="3"/>
  <c r="J200" i="3" s="1"/>
  <c r="K166" i="3"/>
  <c r="K175" i="3" s="1"/>
  <c r="J166" i="3"/>
  <c r="K151" i="3"/>
  <c r="K160" i="3" s="1"/>
  <c r="J151" i="3"/>
  <c r="K123" i="3"/>
  <c r="J123" i="3"/>
  <c r="O123" i="3"/>
  <c r="O109" i="3"/>
  <c r="O81" i="3"/>
  <c r="O67" i="3"/>
  <c r="O53" i="3"/>
  <c r="J155" i="3" l="1"/>
  <c r="J160" i="3"/>
  <c r="J152" i="3"/>
  <c r="J193" i="3"/>
  <c r="K207" i="3"/>
  <c r="K208" i="3" s="1"/>
  <c r="K209" i="3" s="1"/>
  <c r="K210" i="3" s="1"/>
  <c r="J221" i="3"/>
  <c r="J222" i="3" s="1"/>
  <c r="J223" i="3" s="1"/>
  <c r="K235" i="3"/>
  <c r="K236" i="3" s="1"/>
  <c r="K237" i="3" s="1"/>
  <c r="K193" i="3"/>
  <c r="K194" i="3" s="1"/>
  <c r="K155" i="3"/>
  <c r="K152" i="3"/>
  <c r="K153" i="3" s="1"/>
  <c r="K167" i="3"/>
  <c r="K168" i="3" s="1"/>
  <c r="E215" i="3"/>
  <c r="E242" i="3"/>
  <c r="E243" i="3" s="1"/>
  <c r="F42" i="3"/>
  <c r="F43" i="3" s="1"/>
  <c r="F45" i="3" s="1"/>
  <c r="F47" i="3" s="1"/>
  <c r="F95" i="3"/>
  <c r="F96" i="3" s="1"/>
  <c r="F97" i="3" s="1"/>
  <c r="F98" i="3" s="1"/>
  <c r="F99" i="3" s="1"/>
  <c r="F101" i="3" s="1"/>
  <c r="F103" i="3" s="1"/>
  <c r="F108" i="3"/>
  <c r="F207" i="3"/>
  <c r="F208" i="3" s="1"/>
  <c r="F209" i="3" s="1"/>
  <c r="F220" i="3"/>
  <c r="F214" i="3"/>
  <c r="F199" i="3"/>
  <c r="F201" i="3"/>
  <c r="E199" i="3"/>
  <c r="E201" i="3"/>
  <c r="J196" i="3"/>
  <c r="J197" i="3" s="1"/>
  <c r="J199" i="3" s="1"/>
  <c r="J201" i="3" s="1"/>
  <c r="K156" i="3"/>
  <c r="K157" i="3" s="1"/>
  <c r="K159" i="3" s="1"/>
  <c r="K161" i="3" s="1"/>
  <c r="K196" i="3"/>
  <c r="K197" i="3" s="1"/>
  <c r="K199" i="3" s="1"/>
  <c r="K201" i="3" s="1"/>
  <c r="J175" i="3"/>
  <c r="J170" i="3"/>
  <c r="J167" i="3"/>
  <c r="J168" i="3" s="1"/>
  <c r="K221" i="3"/>
  <c r="K222" i="3" s="1"/>
  <c r="K223" i="3" s="1"/>
  <c r="J242" i="3"/>
  <c r="K170" i="3"/>
  <c r="J207" i="3"/>
  <c r="J208" i="3" s="1"/>
  <c r="J209" i="3" s="1"/>
  <c r="J235" i="3"/>
  <c r="K211" i="3"/>
  <c r="K213" i="3" s="1"/>
  <c r="K215" i="3" s="1"/>
  <c r="K228" i="3"/>
  <c r="J153" i="3"/>
  <c r="J156" i="3" s="1"/>
  <c r="J157" i="3" s="1"/>
  <c r="J159" i="3" s="1"/>
  <c r="J161" i="3" s="1"/>
  <c r="J194" i="3"/>
  <c r="K122" i="3"/>
  <c r="K130" i="3" s="1"/>
  <c r="J122" i="3"/>
  <c r="K109" i="3"/>
  <c r="J109" i="3"/>
  <c r="K108" i="3"/>
  <c r="K116" i="3" s="1"/>
  <c r="J108" i="3"/>
  <c r="J116" i="3" s="1"/>
  <c r="K94" i="3"/>
  <c r="K102" i="3" s="1"/>
  <c r="K238" i="3" l="1"/>
  <c r="K239" i="3" s="1"/>
  <c r="K241" i="3" s="1"/>
  <c r="K243" i="3" s="1"/>
  <c r="J110" i="3"/>
  <c r="J111" i="3" s="1"/>
  <c r="J112" i="3" s="1"/>
  <c r="J113" i="3" s="1"/>
  <c r="J115" i="3" s="1"/>
  <c r="K110" i="3"/>
  <c r="K111" i="3" s="1"/>
  <c r="K124" i="3"/>
  <c r="K125" i="3" s="1"/>
  <c r="K126" i="3" s="1"/>
  <c r="K127" i="3" s="1"/>
  <c r="K129" i="3" s="1"/>
  <c r="K131" i="3" s="1"/>
  <c r="J124" i="3"/>
  <c r="J125" i="3" s="1"/>
  <c r="J130" i="3"/>
  <c r="K95" i="3"/>
  <c r="K96" i="3" s="1"/>
  <c r="K97" i="3" s="1"/>
  <c r="F116" i="3"/>
  <c r="F122" i="3"/>
  <c r="F109" i="3"/>
  <c r="F110" i="3" s="1"/>
  <c r="F111" i="3" s="1"/>
  <c r="F112" i="3" s="1"/>
  <c r="F113" i="3" s="1"/>
  <c r="F115" i="3" s="1"/>
  <c r="F210" i="3"/>
  <c r="F211" i="3" s="1"/>
  <c r="F213" i="3" s="1"/>
  <c r="F215" i="3" s="1"/>
  <c r="F234" i="3"/>
  <c r="F221" i="3"/>
  <c r="F222" i="3" s="1"/>
  <c r="F223" i="3" s="1"/>
  <c r="F224" i="3" s="1"/>
  <c r="F225" i="3" s="1"/>
  <c r="F227" i="3" s="1"/>
  <c r="F228" i="3"/>
  <c r="J171" i="3"/>
  <c r="J172" i="3" s="1"/>
  <c r="J174" i="3" s="1"/>
  <c r="J176" i="3" s="1"/>
  <c r="J117" i="3"/>
  <c r="J210" i="3"/>
  <c r="J211" i="3" s="1"/>
  <c r="J213" i="3" s="1"/>
  <c r="J215" i="3" s="1"/>
  <c r="K224" i="3"/>
  <c r="K225" i="3" s="1"/>
  <c r="K227" i="3" s="1"/>
  <c r="K229" i="3" s="1"/>
  <c r="J236" i="3"/>
  <c r="J237" i="3" s="1"/>
  <c r="K171" i="3"/>
  <c r="K172" i="3" s="1"/>
  <c r="K174" i="3" s="1"/>
  <c r="K176" i="3" s="1"/>
  <c r="J224" i="3"/>
  <c r="J225" i="3" s="1"/>
  <c r="J227" i="3" s="1"/>
  <c r="J229" i="3" s="1"/>
  <c r="K112" i="3"/>
  <c r="K113" i="3" s="1"/>
  <c r="K115" i="3" s="1"/>
  <c r="K117" i="3" s="1"/>
  <c r="K98" i="3"/>
  <c r="K99" i="3" s="1"/>
  <c r="K101" i="3" s="1"/>
  <c r="K103" i="3" s="1"/>
  <c r="P94" i="3"/>
  <c r="P96" i="3" s="1"/>
  <c r="P97" i="3" s="1"/>
  <c r="P109" i="3"/>
  <c r="P108" i="3"/>
  <c r="O108" i="3"/>
  <c r="P52" i="3"/>
  <c r="O52" i="3"/>
  <c r="K136" i="3"/>
  <c r="J136" i="3"/>
  <c r="J145" i="3" s="1"/>
  <c r="K145" i="3" l="1"/>
  <c r="K140" i="3"/>
  <c r="P53" i="3"/>
  <c r="P60" i="3"/>
  <c r="J140" i="3"/>
  <c r="P110" i="3"/>
  <c r="J126" i="3"/>
  <c r="J127" i="3" s="1"/>
  <c r="J129" i="3" s="1"/>
  <c r="J131" i="3" s="1"/>
  <c r="J137" i="3"/>
  <c r="J138" i="3" s="1"/>
  <c r="J141" i="3" s="1"/>
  <c r="J142" i="3" s="1"/>
  <c r="J144" i="3" s="1"/>
  <c r="J146" i="3" s="1"/>
  <c r="O60" i="3"/>
  <c r="O54" i="3"/>
  <c r="O116" i="3"/>
  <c r="O110" i="3"/>
  <c r="K137" i="3"/>
  <c r="K138" i="3" s="1"/>
  <c r="F117" i="3"/>
  <c r="F229" i="3"/>
  <c r="F136" i="3"/>
  <c r="F123" i="3"/>
  <c r="F124" i="3" s="1"/>
  <c r="F125" i="3" s="1"/>
  <c r="F126" i="3" s="1"/>
  <c r="F127" i="3" s="1"/>
  <c r="F129" i="3" s="1"/>
  <c r="F130" i="3"/>
  <c r="F235" i="3"/>
  <c r="F236" i="3" s="1"/>
  <c r="F237" i="3" s="1"/>
  <c r="F242" i="3"/>
  <c r="K141" i="3"/>
  <c r="K142" i="3" s="1"/>
  <c r="K144" i="3" s="1"/>
  <c r="K146" i="3" s="1"/>
  <c r="J238" i="3"/>
  <c r="J239" i="3" s="1"/>
  <c r="J241" i="3" s="1"/>
  <c r="J243" i="3" s="1"/>
  <c r="P54" i="3"/>
  <c r="P55" i="3" s="1"/>
  <c r="P56" i="3" s="1"/>
  <c r="P57" i="3" s="1"/>
  <c r="P59" i="3" s="1"/>
  <c r="P61" i="3" s="1"/>
  <c r="P98" i="3"/>
  <c r="P99" i="3" s="1"/>
  <c r="P101" i="3" s="1"/>
  <c r="P102" i="3"/>
  <c r="P8" i="3"/>
  <c r="O55" i="3" l="1"/>
  <c r="O56" i="3" s="1"/>
  <c r="Q54" i="3"/>
  <c r="P9" i="3"/>
  <c r="P10" i="3" s="1"/>
  <c r="P12" i="3" s="1"/>
  <c r="P17" i="3"/>
  <c r="O111" i="3"/>
  <c r="O112" i="3"/>
  <c r="O113" i="3" s="1"/>
  <c r="O115" i="3" s="1"/>
  <c r="O117" i="3" s="1"/>
  <c r="F131" i="3"/>
  <c r="F145" i="3"/>
  <c r="F137" i="3"/>
  <c r="F138" i="3" s="1"/>
  <c r="F140" i="3" s="1"/>
  <c r="F141" i="3" s="1"/>
  <c r="F142" i="3" s="1"/>
  <c r="F144" i="3" s="1"/>
  <c r="F238" i="3"/>
  <c r="F239" i="3" s="1"/>
  <c r="F241" i="3" s="1"/>
  <c r="F243" i="3" s="1"/>
  <c r="P103" i="3"/>
  <c r="P13" i="3" l="1"/>
  <c r="P14" i="3" s="1"/>
  <c r="P16" i="3" s="1"/>
  <c r="P18" i="3" s="1"/>
  <c r="F146" i="3"/>
  <c r="J94" i="3"/>
  <c r="K80" i="3"/>
  <c r="J80" i="3"/>
  <c r="K66" i="3"/>
  <c r="J66" i="3"/>
  <c r="K52" i="3"/>
  <c r="J52" i="3"/>
  <c r="K38" i="3"/>
  <c r="J38" i="3"/>
  <c r="K23" i="3"/>
  <c r="J23" i="3"/>
  <c r="K8" i="3"/>
  <c r="K17" i="3" s="1"/>
  <c r="J8" i="3"/>
  <c r="F248" i="3"/>
  <c r="J32" i="3" l="1"/>
  <c r="J24" i="3"/>
  <c r="J25" i="3" s="1"/>
  <c r="J27" i="3" s="1"/>
  <c r="J81" i="3"/>
  <c r="J82" i="3" s="1"/>
  <c r="J83" i="3" s="1"/>
  <c r="J84" i="3" s="1"/>
  <c r="J85" i="3" s="1"/>
  <c r="J87" i="3" s="1"/>
  <c r="J88" i="3"/>
  <c r="K88" i="3"/>
  <c r="K81" i="3"/>
  <c r="K82" i="3" s="1"/>
  <c r="K83" i="3" s="1"/>
  <c r="K84" i="3" s="1"/>
  <c r="K85" i="3" s="1"/>
  <c r="K87" i="3" s="1"/>
  <c r="K89" i="3" s="1"/>
  <c r="K9" i="3"/>
  <c r="K10" i="3" s="1"/>
  <c r="J17" i="3"/>
  <c r="J9" i="3"/>
  <c r="J10" i="3" s="1"/>
  <c r="J12" i="3" s="1"/>
  <c r="J39" i="3"/>
  <c r="J40" i="3" s="1"/>
  <c r="J46" i="3"/>
  <c r="J41" i="3"/>
  <c r="J67" i="3"/>
  <c r="J68" i="3" s="1"/>
  <c r="J69" i="3" s="1"/>
  <c r="J70" i="3" s="1"/>
  <c r="J71" i="3" s="1"/>
  <c r="J73" i="3" s="1"/>
  <c r="J74" i="3"/>
  <c r="J95" i="3"/>
  <c r="J96" i="3" s="1"/>
  <c r="J97" i="3" s="1"/>
  <c r="J102" i="3"/>
  <c r="J60" i="3"/>
  <c r="J53" i="3"/>
  <c r="J54" i="3" s="1"/>
  <c r="J55" i="3" s="1"/>
  <c r="J56" i="3" s="1"/>
  <c r="J57" i="3" s="1"/>
  <c r="J59" i="3" s="1"/>
  <c r="K32" i="3"/>
  <c r="K24" i="3"/>
  <c r="K25" i="3" s="1"/>
  <c r="K60" i="3"/>
  <c r="K53" i="3"/>
  <c r="K54" i="3" s="1"/>
  <c r="K55" i="3" s="1"/>
  <c r="K56" i="3" s="1"/>
  <c r="K57" i="3" s="1"/>
  <c r="K59" i="3" s="1"/>
  <c r="K61" i="3"/>
  <c r="K39" i="3"/>
  <c r="K41" i="3" s="1"/>
  <c r="K46" i="3"/>
  <c r="K74" i="3"/>
  <c r="K67" i="3"/>
  <c r="K68" i="3" s="1"/>
  <c r="K69" i="3" s="1"/>
  <c r="K70" i="3" s="1"/>
  <c r="K71" i="3" s="1"/>
  <c r="K73" i="3" s="1"/>
  <c r="K75" i="3" s="1"/>
  <c r="J42" i="3" l="1"/>
  <c r="J43" i="3" s="1"/>
  <c r="J45" i="3" s="1"/>
  <c r="J47" i="3" s="1"/>
  <c r="J28" i="3"/>
  <c r="J29" i="3" s="1"/>
  <c r="J75" i="3"/>
  <c r="J13" i="3"/>
  <c r="J14" i="3" s="1"/>
  <c r="K40" i="3"/>
  <c r="K42" i="3" s="1"/>
  <c r="K43" i="3" s="1"/>
  <c r="K45" i="3" s="1"/>
  <c r="K47" i="3" s="1"/>
  <c r="J61" i="3"/>
  <c r="J98" i="3"/>
  <c r="J99" i="3" s="1"/>
  <c r="J101" i="3" s="1"/>
  <c r="J103" i="3" s="1"/>
  <c r="K12" i="3"/>
  <c r="K13" i="3" s="1"/>
  <c r="K14" i="3" s="1"/>
  <c r="J89" i="3"/>
  <c r="K27" i="3"/>
  <c r="K28" i="3"/>
  <c r="K29" i="3" s="1"/>
  <c r="I223" i="3"/>
  <c r="I209" i="3"/>
  <c r="I211" i="3" s="1"/>
  <c r="I213" i="3" s="1"/>
  <c r="I166" i="3"/>
  <c r="I192" i="3" s="1"/>
  <c r="I160" i="3"/>
  <c r="I175" i="3" s="1"/>
  <c r="I200" i="3" s="1"/>
  <c r="I214" i="3" s="1"/>
  <c r="I228" i="3" s="1"/>
  <c r="I242" i="3" s="1"/>
  <c r="I256" i="3" s="1"/>
  <c r="I137" i="3"/>
  <c r="I152" i="3" s="1"/>
  <c r="I167" i="3" s="1"/>
  <c r="I193" i="3" s="1"/>
  <c r="I207" i="3" s="1"/>
  <c r="I221" i="3" s="1"/>
  <c r="I235" i="3" s="1"/>
  <c r="I249" i="3" s="1"/>
  <c r="I84" i="3"/>
  <c r="I85" i="3" s="1"/>
  <c r="I87" i="3" s="1"/>
  <c r="I70" i="3"/>
  <c r="I71" i="3" s="1"/>
  <c r="I73" i="3" s="1"/>
  <c r="I67" i="3"/>
  <c r="I57" i="3"/>
  <c r="I59" i="3" s="1"/>
  <c r="I52" i="3"/>
  <c r="I54" i="3" s="1"/>
  <c r="I39" i="3"/>
  <c r="I8" i="3"/>
  <c r="I17" i="3" s="1"/>
  <c r="I32" i="3" s="1"/>
  <c r="I46" i="3" s="1"/>
  <c r="I60" i="3" s="1"/>
  <c r="J31" i="3" l="1"/>
  <c r="J33" i="3"/>
  <c r="J16" i="3"/>
  <c r="J18" i="3"/>
  <c r="K18" i="3"/>
  <c r="K16" i="3"/>
  <c r="K31" i="3"/>
  <c r="K33" i="3"/>
  <c r="I61" i="3"/>
  <c r="I153" i="3"/>
  <c r="I66" i="3"/>
  <c r="I80" i="3" s="1"/>
  <c r="I94" i="3" s="1"/>
  <c r="I23" i="3"/>
  <c r="I10" i="3"/>
  <c r="I12" i="3" s="1"/>
  <c r="I74" i="3"/>
  <c r="I88" i="3" s="1"/>
  <c r="I102" i="3" s="1"/>
  <c r="I116" i="3" s="1"/>
  <c r="I130" i="3" s="1"/>
  <c r="I145" i="3" s="1"/>
  <c r="K63" i="3"/>
  <c r="I224" i="3"/>
  <c r="I225" i="3" s="1"/>
  <c r="I227" i="3" s="1"/>
  <c r="I237" i="3"/>
  <c r="K77" i="3"/>
  <c r="I194" i="3"/>
  <c r="I206" i="3"/>
  <c r="I168" i="3"/>
  <c r="N251" i="3"/>
  <c r="N253" i="3" s="1"/>
  <c r="N255" i="3" s="1"/>
  <c r="R249" i="3"/>
  <c r="N237" i="3"/>
  <c r="N239" i="3" s="1"/>
  <c r="N241" i="3" s="1"/>
  <c r="N223" i="3"/>
  <c r="N225" i="3" s="1"/>
  <c r="N227" i="3" s="1"/>
  <c r="D223" i="3"/>
  <c r="D237" i="3" s="1"/>
  <c r="D251" i="3" s="1"/>
  <c r="N209" i="3"/>
  <c r="N211" i="3" s="1"/>
  <c r="N213" i="3" s="1"/>
  <c r="D209" i="3"/>
  <c r="D211" i="3" s="1"/>
  <c r="D213" i="3" s="1"/>
  <c r="O197" i="3"/>
  <c r="O199" i="3" s="1"/>
  <c r="N195" i="3"/>
  <c r="N197" i="3" s="1"/>
  <c r="N199" i="3" s="1"/>
  <c r="N170" i="3"/>
  <c r="N172" i="3" s="1"/>
  <c r="N174" i="3" s="1"/>
  <c r="D166" i="3"/>
  <c r="R160" i="3"/>
  <c r="E256" i="3"/>
  <c r="D160" i="3"/>
  <c r="D175" i="3" s="1"/>
  <c r="D200" i="3" s="1"/>
  <c r="D214" i="3" s="1"/>
  <c r="D228" i="3" s="1"/>
  <c r="D242" i="3" s="1"/>
  <c r="D256" i="3" s="1"/>
  <c r="N155" i="3"/>
  <c r="N157" i="3" s="1"/>
  <c r="N159" i="3" s="1"/>
  <c r="Q151" i="3"/>
  <c r="N140" i="3"/>
  <c r="N142" i="3" s="1"/>
  <c r="N144" i="3" s="1"/>
  <c r="E249" i="3"/>
  <c r="D137" i="3"/>
  <c r="D152" i="3" s="1"/>
  <c r="D153" i="3" s="1"/>
  <c r="N125" i="3"/>
  <c r="N127" i="3" s="1"/>
  <c r="N129" i="3" s="1"/>
  <c r="N111" i="3"/>
  <c r="N113" i="3" s="1"/>
  <c r="N115" i="3" s="1"/>
  <c r="N109" i="3"/>
  <c r="N123" i="3" s="1"/>
  <c r="N137" i="3" s="1"/>
  <c r="N207" i="3" s="1"/>
  <c r="N221" i="3" s="1"/>
  <c r="N235" i="3" s="1"/>
  <c r="N249" i="3" s="1"/>
  <c r="N97" i="3"/>
  <c r="N99" i="3" s="1"/>
  <c r="N101" i="3" s="1"/>
  <c r="O94" i="3"/>
  <c r="N94" i="3"/>
  <c r="N108" i="3" s="1"/>
  <c r="N85" i="3"/>
  <c r="N87" i="3" s="1"/>
  <c r="E84" i="3"/>
  <c r="E85" i="3" s="1"/>
  <c r="E87" i="3" s="1"/>
  <c r="D84" i="3"/>
  <c r="D85" i="3" s="1"/>
  <c r="D87" i="3" s="1"/>
  <c r="N71" i="3"/>
  <c r="N73" i="3" s="1"/>
  <c r="D70" i="3"/>
  <c r="D71" i="3" s="1"/>
  <c r="D73" i="3" s="1"/>
  <c r="D67" i="3"/>
  <c r="N57" i="3"/>
  <c r="N59" i="3" s="1"/>
  <c r="D57" i="3"/>
  <c r="D59" i="3" s="1"/>
  <c r="O57" i="3"/>
  <c r="O59" i="3" s="1"/>
  <c r="D52" i="3"/>
  <c r="N42" i="3"/>
  <c r="N43" i="3" s="1"/>
  <c r="N45" i="3" s="1"/>
  <c r="D39" i="3"/>
  <c r="N27" i="3"/>
  <c r="N29" i="3" s="1"/>
  <c r="N31" i="3" s="1"/>
  <c r="N24" i="3"/>
  <c r="N39" i="3" s="1"/>
  <c r="N53" i="3" s="1"/>
  <c r="N67" i="3" s="1"/>
  <c r="N81" i="3" s="1"/>
  <c r="N12" i="3"/>
  <c r="N14" i="3" s="1"/>
  <c r="N16" i="3" s="1"/>
  <c r="O8" i="3"/>
  <c r="N8" i="3"/>
  <c r="N10" i="3" s="1"/>
  <c r="D8" i="3"/>
  <c r="E9" i="3" s="1"/>
  <c r="E10" i="3" s="1"/>
  <c r="E12" i="3" s="1"/>
  <c r="E13" i="3" s="1"/>
  <c r="E14" i="3" s="1"/>
  <c r="E16" i="3" s="1"/>
  <c r="E18" i="3" s="1"/>
  <c r="O24" i="3" l="1"/>
  <c r="O9" i="3"/>
  <c r="O10" i="3" s="1"/>
  <c r="O17" i="3"/>
  <c r="O96" i="3"/>
  <c r="O97" i="3" s="1"/>
  <c r="O102" i="3"/>
  <c r="I68" i="3"/>
  <c r="I82" i="3"/>
  <c r="N17" i="3"/>
  <c r="N18" i="3" s="1"/>
  <c r="I75" i="3"/>
  <c r="N23" i="3"/>
  <c r="N38" i="3" s="1"/>
  <c r="D224" i="3"/>
  <c r="D225" i="3" s="1"/>
  <c r="D227" i="3" s="1"/>
  <c r="K20" i="3"/>
  <c r="I89" i="3"/>
  <c r="P119" i="3"/>
  <c r="I13" i="3"/>
  <c r="I14" i="3" s="1"/>
  <c r="I16" i="3" s="1"/>
  <c r="I18" i="3" s="1"/>
  <c r="K91" i="3"/>
  <c r="I96" i="3"/>
  <c r="I97" i="3" s="1"/>
  <c r="I108" i="3"/>
  <c r="I220" i="3"/>
  <c r="I215" i="3"/>
  <c r="I208" i="3"/>
  <c r="I251" i="3"/>
  <c r="I238" i="3"/>
  <c r="I239" i="3" s="1"/>
  <c r="I241" i="3" s="1"/>
  <c r="K217" i="3"/>
  <c r="I38" i="3"/>
  <c r="I25" i="3"/>
  <c r="I27" i="3" s="1"/>
  <c r="D23" i="3"/>
  <c r="D17" i="3"/>
  <c r="D32" i="3" s="1"/>
  <c r="D46" i="3" s="1"/>
  <c r="D60" i="3" s="1"/>
  <c r="D74" i="3" s="1"/>
  <c r="D88" i="3" s="1"/>
  <c r="D102" i="3" s="1"/>
  <c r="D116" i="3" s="1"/>
  <c r="D130" i="3" s="1"/>
  <c r="D145" i="3" s="1"/>
  <c r="O23" i="3"/>
  <c r="Q17" i="3"/>
  <c r="Q12" i="3"/>
  <c r="Q13" i="3" s="1"/>
  <c r="Q39" i="3" s="1"/>
  <c r="Q9" i="3"/>
  <c r="D66" i="3"/>
  <c r="D252" i="3"/>
  <c r="D253" i="3" s="1"/>
  <c r="D255" i="3" s="1"/>
  <c r="D10" i="3"/>
  <c r="D12" i="3" s="1"/>
  <c r="D54" i="3"/>
  <c r="N122" i="3"/>
  <c r="N110" i="3"/>
  <c r="D192" i="3"/>
  <c r="N96" i="3"/>
  <c r="E88" i="3"/>
  <c r="E102" i="3" s="1"/>
  <c r="E116" i="3" s="1"/>
  <c r="E130" i="3" s="1"/>
  <c r="E145" i="3" s="1"/>
  <c r="N102" i="3"/>
  <c r="N116" i="3" s="1"/>
  <c r="N130" i="3" s="1"/>
  <c r="N145" i="3" s="1"/>
  <c r="N152" i="3"/>
  <c r="N167" i="3" s="1"/>
  <c r="N193" i="3" s="1"/>
  <c r="E251" i="3"/>
  <c r="D238" i="3"/>
  <c r="D239" i="3" s="1"/>
  <c r="D241" i="3" s="1"/>
  <c r="D167" i="3"/>
  <c r="D193" i="3" s="1"/>
  <c r="D207" i="3" s="1"/>
  <c r="D221" i="3" s="1"/>
  <c r="D235" i="3" s="1"/>
  <c r="D249" i="3" s="1"/>
  <c r="O98" i="3" l="1"/>
  <c r="O99" i="3"/>
  <c r="O101" i="3" s="1"/>
  <c r="O103" i="3" s="1"/>
  <c r="P105" i="3" s="1"/>
  <c r="O12" i="3"/>
  <c r="O28" i="3" s="1"/>
  <c r="O13" i="3"/>
  <c r="O14" i="3" s="1"/>
  <c r="O16" i="3" s="1"/>
  <c r="O18" i="3" s="1"/>
  <c r="O32" i="3"/>
  <c r="O25" i="3"/>
  <c r="O27" i="3" s="1"/>
  <c r="O29" i="3" s="1"/>
  <c r="O31" i="3" s="1"/>
  <c r="O39" i="3"/>
  <c r="N32" i="3"/>
  <c r="N46" i="3" s="1"/>
  <c r="N60" i="3" s="1"/>
  <c r="N74" i="3" s="1"/>
  <c r="N88" i="3" s="1"/>
  <c r="D61" i="3"/>
  <c r="N25" i="3"/>
  <c r="N103" i="3"/>
  <c r="N117" i="3"/>
  <c r="O122" i="3"/>
  <c r="I99" i="3"/>
  <c r="I101" i="3" s="1"/>
  <c r="I103" i="3" s="1"/>
  <c r="I111" i="3"/>
  <c r="K231" i="3"/>
  <c r="I229" i="3"/>
  <c r="I222" i="3"/>
  <c r="I234" i="3"/>
  <c r="I28" i="3"/>
  <c r="I29" i="3" s="1"/>
  <c r="I31" i="3" s="1"/>
  <c r="I33" i="3" s="1"/>
  <c r="K35" i="3"/>
  <c r="I40" i="3"/>
  <c r="I41" i="3" s="1"/>
  <c r="I252" i="3"/>
  <c r="I253" i="3" s="1"/>
  <c r="I255" i="3" s="1"/>
  <c r="I110" i="3"/>
  <c r="I122" i="3"/>
  <c r="E252" i="3"/>
  <c r="E253" i="3" s="1"/>
  <c r="E255" i="3" s="1"/>
  <c r="F20" i="3"/>
  <c r="P20" i="3"/>
  <c r="D168" i="3"/>
  <c r="N136" i="3"/>
  <c r="N124" i="3"/>
  <c r="N131" i="3"/>
  <c r="D13" i="3"/>
  <c r="D14" i="3" s="1"/>
  <c r="D16" i="3" s="1"/>
  <c r="D18" i="3" s="1"/>
  <c r="D75" i="3"/>
  <c r="D68" i="3"/>
  <c r="D80" i="3"/>
  <c r="Q103" i="3"/>
  <c r="Q14" i="3"/>
  <c r="R14" i="3" s="1"/>
  <c r="Q41" i="3"/>
  <c r="D38" i="3"/>
  <c r="D25" i="3"/>
  <c r="D27" i="3" s="1"/>
  <c r="N214" i="3"/>
  <c r="N228" i="3" s="1"/>
  <c r="N242" i="3" s="1"/>
  <c r="N256" i="3" s="1"/>
  <c r="N160" i="3"/>
  <c r="N175" i="3" s="1"/>
  <c r="N200" i="3" s="1"/>
  <c r="Q99" i="3"/>
  <c r="D206" i="3"/>
  <c r="D194" i="3"/>
  <c r="E80" i="3"/>
  <c r="E94" i="3" s="1"/>
  <c r="F77" i="3"/>
  <c r="O38" i="3"/>
  <c r="F63" i="3"/>
  <c r="N52" i="3"/>
  <c r="N40" i="3"/>
  <c r="Q38" i="3" s="1"/>
  <c r="O42" i="3" l="1"/>
  <c r="O33" i="3"/>
  <c r="P35" i="3" s="1"/>
  <c r="E108" i="3"/>
  <c r="E95" i="3"/>
  <c r="E96" i="3" s="1"/>
  <c r="E97" i="3" s="1"/>
  <c r="E98" i="3" s="1"/>
  <c r="E99" i="3" s="1"/>
  <c r="E101" i="3" s="1"/>
  <c r="E103" i="3" s="1"/>
  <c r="O40" i="3"/>
  <c r="O41" i="3" s="1"/>
  <c r="O43" i="3" s="1"/>
  <c r="O45" i="3" s="1"/>
  <c r="O46" i="3"/>
  <c r="O136" i="3"/>
  <c r="O137" i="3" s="1"/>
  <c r="O130" i="3"/>
  <c r="O124" i="3"/>
  <c r="O125" i="3" s="1"/>
  <c r="N47" i="3"/>
  <c r="N33" i="3"/>
  <c r="Q102" i="3"/>
  <c r="K105" i="3"/>
  <c r="I124" i="3"/>
  <c r="I136" i="3"/>
  <c r="K49" i="3"/>
  <c r="I112" i="3"/>
  <c r="I113" i="3" s="1"/>
  <c r="I115" i="3" s="1"/>
  <c r="I117" i="3" s="1"/>
  <c r="I125" i="3"/>
  <c r="K245" i="3"/>
  <c r="I42" i="3"/>
  <c r="I43" i="3" s="1"/>
  <c r="I45" i="3" s="1"/>
  <c r="I47" i="3" s="1"/>
  <c r="I243" i="3"/>
  <c r="I236" i="3"/>
  <c r="I248" i="3"/>
  <c r="N206" i="3"/>
  <c r="N146" i="3"/>
  <c r="N138" i="3"/>
  <c r="N151" i="3"/>
  <c r="D28" i="3"/>
  <c r="D29" i="3" s="1"/>
  <c r="D31" i="3" s="1"/>
  <c r="D33" i="3" s="1"/>
  <c r="D220" i="3"/>
  <c r="D208" i="3"/>
  <c r="D215" i="3"/>
  <c r="N61" i="3"/>
  <c r="N66" i="3"/>
  <c r="N54" i="3"/>
  <c r="E89" i="3"/>
  <c r="F91" i="3" s="1"/>
  <c r="E82" i="3"/>
  <c r="D89" i="3"/>
  <c r="D94" i="3"/>
  <c r="D82" i="3"/>
  <c r="F217" i="3"/>
  <c r="D40" i="3"/>
  <c r="D41" i="3" s="1"/>
  <c r="F35" i="3"/>
  <c r="O47" i="3" l="1"/>
  <c r="P49" i="3" s="1"/>
  <c r="O151" i="3"/>
  <c r="O152" i="3" s="1"/>
  <c r="E109" i="3"/>
  <c r="E110" i="3" s="1"/>
  <c r="E111" i="3" s="1"/>
  <c r="E122" i="3"/>
  <c r="O138" i="3"/>
  <c r="O145" i="3"/>
  <c r="O206" i="3"/>
  <c r="O126" i="3"/>
  <c r="O127" i="3" s="1"/>
  <c r="O129" i="3" s="1"/>
  <c r="O131" i="3" s="1"/>
  <c r="P133" i="3" s="1"/>
  <c r="K119" i="3"/>
  <c r="I257" i="3"/>
  <c r="I250" i="3"/>
  <c r="I126" i="3"/>
  <c r="I127" i="3" s="1"/>
  <c r="I129" i="3" s="1"/>
  <c r="I131" i="3" s="1"/>
  <c r="K259" i="3"/>
  <c r="I138" i="3"/>
  <c r="I140" i="3" s="1"/>
  <c r="F231" i="3"/>
  <c r="D108" i="3"/>
  <c r="D96" i="3"/>
  <c r="D97" i="3" s="1"/>
  <c r="N220" i="3"/>
  <c r="N215" i="3"/>
  <c r="N208" i="3"/>
  <c r="D42" i="3"/>
  <c r="D43" i="3" s="1"/>
  <c r="D45" i="3" s="1"/>
  <c r="D47" i="3" s="1"/>
  <c r="N75" i="3"/>
  <c r="N80" i="3"/>
  <c r="N68" i="3"/>
  <c r="F49" i="3"/>
  <c r="D234" i="3"/>
  <c r="D222" i="3"/>
  <c r="D229" i="3"/>
  <c r="O61" i="3"/>
  <c r="P63" i="3" s="1"/>
  <c r="O66" i="3"/>
  <c r="N166" i="3"/>
  <c r="N153" i="3"/>
  <c r="S156" i="3" s="1"/>
  <c r="S155" i="3" s="1"/>
  <c r="N161" i="3"/>
  <c r="O153" i="3" l="1"/>
  <c r="Q153" i="3" s="1"/>
  <c r="O166" i="3"/>
  <c r="O167" i="3" s="1"/>
  <c r="O160" i="3"/>
  <c r="E136" i="3"/>
  <c r="E137" i="3" s="1"/>
  <c r="E138" i="3" s="1"/>
  <c r="E140" i="3" s="1"/>
  <c r="E123" i="3"/>
  <c r="E124" i="3" s="1"/>
  <c r="E125" i="3" s="1"/>
  <c r="E112" i="3"/>
  <c r="E113" i="3" s="1"/>
  <c r="E115" i="3" s="1"/>
  <c r="E117" i="3" s="1"/>
  <c r="O214" i="3"/>
  <c r="O208" i="3"/>
  <c r="O220" i="3"/>
  <c r="O234" i="3" s="1"/>
  <c r="O74" i="3"/>
  <c r="O68" i="3"/>
  <c r="O69" i="3" s="1"/>
  <c r="O70" i="3" s="1"/>
  <c r="O140" i="3"/>
  <c r="O141" i="3" s="1"/>
  <c r="Q138" i="3"/>
  <c r="K133" i="3"/>
  <c r="I155" i="3"/>
  <c r="I142" i="3"/>
  <c r="I144" i="3" s="1"/>
  <c r="I146" i="3" s="1"/>
  <c r="O80" i="3"/>
  <c r="N89" i="3"/>
  <c r="N82" i="3"/>
  <c r="D111" i="3"/>
  <c r="D99" i="3"/>
  <c r="D101" i="3" s="1"/>
  <c r="D103" i="3" s="1"/>
  <c r="F245" i="3"/>
  <c r="E248" i="3"/>
  <c r="N176" i="3"/>
  <c r="N192" i="3"/>
  <c r="N168" i="3"/>
  <c r="N234" i="3"/>
  <c r="N222" i="3"/>
  <c r="N229" i="3"/>
  <c r="D248" i="3"/>
  <c r="D236" i="3"/>
  <c r="D243" i="3"/>
  <c r="F105" i="3"/>
  <c r="D122" i="3"/>
  <c r="D110" i="3"/>
  <c r="O155" i="3" l="1"/>
  <c r="O156" i="3" s="1"/>
  <c r="O175" i="3"/>
  <c r="O168" i="3"/>
  <c r="Q168" i="3" s="1"/>
  <c r="O192" i="3"/>
  <c r="O200" i="3" s="1"/>
  <c r="O209" i="3"/>
  <c r="O210" i="3" s="1"/>
  <c r="O211" i="3" s="1"/>
  <c r="O213" i="3" s="1"/>
  <c r="O215" i="3" s="1"/>
  <c r="P217" i="3" s="1"/>
  <c r="O222" i="3"/>
  <c r="Q222" i="3" s="1"/>
  <c r="E126" i="3"/>
  <c r="E127" i="3" s="1"/>
  <c r="E129" i="3" s="1"/>
  <c r="E131" i="3" s="1"/>
  <c r="E141" i="3"/>
  <c r="E142" i="3" s="1"/>
  <c r="E144" i="3" s="1"/>
  <c r="E146" i="3" s="1"/>
  <c r="O228" i="3"/>
  <c r="Q68" i="3"/>
  <c r="O88" i="3"/>
  <c r="O82" i="3"/>
  <c r="O83" i="3" s="1"/>
  <c r="O84" i="3" s="1"/>
  <c r="O142" i="3"/>
  <c r="O144" i="3" s="1"/>
  <c r="O146" i="3" s="1"/>
  <c r="P148" i="3" s="1"/>
  <c r="R156" i="3"/>
  <c r="R157" i="3" s="1"/>
  <c r="R161" i="3" s="1"/>
  <c r="Q155" i="3"/>
  <c r="Q156" i="3" s="1"/>
  <c r="Q208" i="3"/>
  <c r="O157" i="3"/>
  <c r="O159" i="3" s="1"/>
  <c r="O161" i="3" s="1"/>
  <c r="P163" i="3" s="1"/>
  <c r="O236" i="3"/>
  <c r="O242" i="3"/>
  <c r="K148" i="3"/>
  <c r="I170" i="3"/>
  <c r="I156" i="3"/>
  <c r="I157" i="3" s="1"/>
  <c r="I159" i="3" s="1"/>
  <c r="I161" i="3" s="1"/>
  <c r="F119" i="3"/>
  <c r="D125" i="3"/>
  <c r="D112" i="3"/>
  <c r="D113" i="3" s="1"/>
  <c r="D115" i="3" s="1"/>
  <c r="D117" i="3" s="1"/>
  <c r="D136" i="3"/>
  <c r="D124" i="3"/>
  <c r="N243" i="3"/>
  <c r="N236" i="3"/>
  <c r="N248" i="3"/>
  <c r="O248" i="3"/>
  <c r="Q84" i="3"/>
  <c r="Q85" i="3" s="1"/>
  <c r="Q80" i="3"/>
  <c r="E250" i="3"/>
  <c r="E257" i="3"/>
  <c r="F259" i="3" s="1"/>
  <c r="D257" i="3"/>
  <c r="D250" i="3"/>
  <c r="N201" i="3"/>
  <c r="N194" i="3"/>
  <c r="O194" i="3" l="1"/>
  <c r="Q194" i="3" s="1"/>
  <c r="O201" i="3"/>
  <c r="P203" i="3" s="1"/>
  <c r="O170" i="3"/>
  <c r="O171" i="3" s="1"/>
  <c r="O172" i="3" s="1"/>
  <c r="O174" i="3" s="1"/>
  <c r="O176" i="3" s="1"/>
  <c r="P178" i="3" s="1"/>
  <c r="O223" i="3"/>
  <c r="O224" i="3" s="1"/>
  <c r="O225" i="3" s="1"/>
  <c r="O227" i="3" s="1"/>
  <c r="O229" i="3" s="1"/>
  <c r="P231" i="3" s="1"/>
  <c r="Q236" i="3"/>
  <c r="O237" i="3"/>
  <c r="Q82" i="3"/>
  <c r="O71" i="3"/>
  <c r="O73" i="3" s="1"/>
  <c r="O75" i="3" s="1"/>
  <c r="P77" i="3" s="1"/>
  <c r="O250" i="3"/>
  <c r="O256" i="3"/>
  <c r="K163" i="3"/>
  <c r="I171" i="3"/>
  <c r="I172" i="3" s="1"/>
  <c r="I174" i="3" s="1"/>
  <c r="I176" i="3" s="1"/>
  <c r="I195" i="3"/>
  <c r="D138" i="3"/>
  <c r="D140" i="3" s="1"/>
  <c r="F133" i="3"/>
  <c r="N250" i="3"/>
  <c r="N257" i="3"/>
  <c r="D126" i="3"/>
  <c r="D127" i="3" s="1"/>
  <c r="D129" i="3" s="1"/>
  <c r="D131" i="3" s="1"/>
  <c r="Q250" i="3" l="1"/>
  <c r="O251" i="3"/>
  <c r="O252" i="3" s="1"/>
  <c r="O238" i="3"/>
  <c r="O239" i="3" s="1"/>
  <c r="O241" i="3" s="1"/>
  <c r="O243" i="3" s="1"/>
  <c r="P245" i="3" s="1"/>
  <c r="O85" i="3"/>
  <c r="O87" i="3" s="1"/>
  <c r="O89" i="3" s="1"/>
  <c r="P91" i="3" s="1"/>
  <c r="I196" i="3"/>
  <c r="I197" i="3" s="1"/>
  <c r="K178" i="3"/>
  <c r="F148" i="3"/>
  <c r="Q248" i="3"/>
  <c r="S248" i="3"/>
  <c r="S249" i="3" s="1"/>
  <c r="S250" i="3" s="1"/>
  <c r="S251" i="3" s="1"/>
  <c r="S252" i="3" s="1"/>
  <c r="D142" i="3"/>
  <c r="D144" i="3" s="1"/>
  <c r="D146" i="3" s="1"/>
  <c r="D155" i="3"/>
  <c r="O253" i="3" l="1"/>
  <c r="O255" i="3" s="1"/>
  <c r="O257" i="3" s="1"/>
  <c r="P259" i="3" s="1"/>
  <c r="I199" i="3"/>
  <c r="I201" i="3"/>
  <c r="D170" i="3"/>
  <c r="D156" i="3"/>
  <c r="D157" i="3" s="1"/>
  <c r="D159" i="3" s="1"/>
  <c r="D161" i="3" s="1"/>
  <c r="F163" i="3"/>
  <c r="K203" i="3" l="1"/>
  <c r="F178" i="3"/>
  <c r="D195" i="3"/>
  <c r="D171" i="3"/>
  <c r="D172" i="3" s="1"/>
  <c r="D174" i="3" s="1"/>
  <c r="D176" i="3" s="1"/>
  <c r="D196" i="3" l="1"/>
  <c r="D197" i="3" s="1"/>
  <c r="F203" i="3" l="1"/>
  <c r="D199" i="3"/>
  <c r="D201" i="3"/>
</calcChain>
</file>

<file path=xl/sharedStrings.xml><?xml version="1.0" encoding="utf-8"?>
<sst xmlns="http://schemas.openxmlformats.org/spreadsheetml/2006/main" count="999" uniqueCount="128">
  <si>
    <t>POE 2017</t>
  </si>
  <si>
    <t>Simulações</t>
  </si>
  <si>
    <t>IRS a pagar e rendimento líquido anual</t>
  </si>
  <si>
    <t xml:space="preserve">Solteiros  </t>
  </si>
  <si>
    <t>Euro 750 / mês / SP solteiro - sem filhos</t>
  </si>
  <si>
    <t>Euro 925 / mês / SP solteiro - sem filhos</t>
  </si>
  <si>
    <t>Euro 1.000 / mês / SP solteiro - sem filhos</t>
  </si>
  <si>
    <t>(+)</t>
  </si>
  <si>
    <t>Rendimento bruto</t>
  </si>
  <si>
    <t>(-)</t>
  </si>
  <si>
    <t>Deduções específicas</t>
  </si>
  <si>
    <t>Rendimento colectável</t>
  </si>
  <si>
    <t>Quociente familiar</t>
  </si>
  <si>
    <t>Colecta IRS + taxa adicional</t>
  </si>
  <si>
    <t>Deduções</t>
  </si>
  <si>
    <t>IRS a pagar</t>
  </si>
  <si>
    <t>Sobretaxa de IRS</t>
  </si>
  <si>
    <t>IRS total a pagar</t>
  </si>
  <si>
    <t>Segurança Social</t>
  </si>
  <si>
    <t>Rendimento líquido anual</t>
  </si>
  <si>
    <t>Variação no rendimento líquido anual</t>
  </si>
  <si>
    <t>Euro 750 / mês / SP solteiro - 1 filho</t>
  </si>
  <si>
    <t>Euro 925 / mês / SP solteiro - 1 filho</t>
  </si>
  <si>
    <t>Euro 1.000 / mês / SP solteiro - 1 filho</t>
  </si>
  <si>
    <t>Euro 750 / mês / SP solteiro - 2 filhos</t>
  </si>
  <si>
    <t>Euro 925 / mês / SP solteiro - 2 filhos</t>
  </si>
  <si>
    <t>Euro 1.000 / mês / SP solteiro - 2 filhos</t>
  </si>
  <si>
    <t>Casados / 1 tit / Trib conj</t>
  </si>
  <si>
    <t>Euro 750 / mês / SP casado / 1 t / trib conj - sem filhos</t>
  </si>
  <si>
    <t>Euro 925 / mês / SP casado / 1 t / trib conj - sem filhos</t>
  </si>
  <si>
    <t>Euro 1.000 / mês / SP casado / 1 t / trib conj - sem filhos</t>
  </si>
  <si>
    <t>Colet/2</t>
  </si>
  <si>
    <t>Euro 750 / mês / SP casado / 1 t / trib conj - 1 filho</t>
  </si>
  <si>
    <t>Euro 925 / mês / SP casado / 1 t / trib conj - 1 filho</t>
  </si>
  <si>
    <t>Euro 1.000 / mês / SP casado / 1 t / trib conj - 1 filho</t>
  </si>
  <si>
    <t>Euro 750 / mês / SP casado / 1 t / trib conj - 2 filhos</t>
  </si>
  <si>
    <t>Euro 925 / mês / SP casado / 1 t / trib conj - 2 filhos</t>
  </si>
  <si>
    <t>Euro 1.000 / mês / SP casado / 1 t / trib conj - 2 filhos</t>
  </si>
  <si>
    <t>Casados / 1 tit / Trib sep</t>
  </si>
  <si>
    <t>Euro 750 / mês / SP casado / 1 t / trib sep - sem filhos</t>
  </si>
  <si>
    <t>Euro 925 / mês / SP casado / 1 t / trib sep - sem filhos</t>
  </si>
  <si>
    <t>Euro 1.000 / mês / SP casado / 1 t / trib sep - sem filhos</t>
  </si>
  <si>
    <t>Euro 750 / mês / SP casado / 1 t / trib sep - 1 filho</t>
  </si>
  <si>
    <t>Euro 925 / mês / SP casado / 1 t / trib sep - 1 filho</t>
  </si>
  <si>
    <t>Euro 1.000 / mês / SP casado / 1 t / trib sep - 1 filho</t>
  </si>
  <si>
    <t>Euro 750 / mês / SP casado / 1 t / trib sep - 2 filhos</t>
  </si>
  <si>
    <t>Euro 925 / mês / SP casado / 1 t / trib sep - 2 filhos</t>
  </si>
  <si>
    <t>Euro 1.000 / mês / SP casado / 1 t / trib sep - 2 filhos</t>
  </si>
  <si>
    <t>Casados / 2 tit / trib conj</t>
  </si>
  <si>
    <t>Euro 750 / mês / SP casado / 2 t / trib conj - sem filhos</t>
  </si>
  <si>
    <t>Euro 925 / mês / SP casado / 2 t / trib conj - sem filhos</t>
  </si>
  <si>
    <t>Euro 1.000 / mês / SP casado / 2 t / trib conj - sem filhos</t>
  </si>
  <si>
    <t>Euro 750 / mês / SP casado / 2 t / trib conj - 1 filho</t>
  </si>
  <si>
    <t>Euro 925 / mês / SP casado / 2 t / trib conj - 1 filho</t>
  </si>
  <si>
    <t>Euro 1.000 / mês / SP casado / 2 t / trib conj - 1 filho</t>
  </si>
  <si>
    <t>Euro 750 / mês / SP casado / 2 t / trib conj - 2 filhos</t>
  </si>
  <si>
    <t>Euro 925 / mês / SP casado / 2 t / trib conj - 2 filhos</t>
  </si>
  <si>
    <t>Euro 1.000 / mês / SP casado / 2 t / trib conj - 2 filhos</t>
  </si>
  <si>
    <t>\</t>
  </si>
  <si>
    <t>Euro 750 / mês / SP casado / 2 t / trib conj - 3 filhos</t>
  </si>
  <si>
    <t>Euro 925 / mês / SP casado / 2 t / trib conj - 3 filhos</t>
  </si>
  <si>
    <t>Euro 1.000 / mês / SP casado / 2 t / trib conj - 3 filhos</t>
  </si>
  <si>
    <t>Casados / 2 tit / trib sep</t>
  </si>
  <si>
    <t>Euro 750 / mês / SP casado / 2 t / trib sep - sem filhos</t>
  </si>
  <si>
    <t>Euro 925 / mês / SP casado / 2 t / trib sep - sem filhos</t>
  </si>
  <si>
    <t>Euro 1.000 / mês / SP casado / 2 t / trib sep - sem filhos</t>
  </si>
  <si>
    <t>Euro 750 / mês / SP casado / 2 t / trib sep - 1 filho</t>
  </si>
  <si>
    <t>Euro 925 / mês / SP casado / 2 t / trib sep - 1 filho</t>
  </si>
  <si>
    <t>Euro 1.000 / mês / SP casado / 2 t / trib sep - 1 filho</t>
  </si>
  <si>
    <t>Euro 750 / mês / SP casado / 2 t / trib sep - 2 filhos</t>
  </si>
  <si>
    <t>Euro 925 / mês / SP casado / 2 t / trib sep - 2 filhos</t>
  </si>
  <si>
    <t>Euro 1.000 / mês / SP casado / 2 t / trib sep - 2 filhos</t>
  </si>
  <si>
    <t>Euro 750 / mês / SP casado / 2 t / trib sep - 3 filhos</t>
  </si>
  <si>
    <t>Euro 925 / mês / SP casado / 2 t / trib sep - 3 filhos</t>
  </si>
  <si>
    <t>Euro 1.000 / mês / SP casado / 2 t / trib sep - 3 filhos</t>
  </si>
  <si>
    <t>NA</t>
  </si>
  <si>
    <t>Euro 1.500 / mês / SP solteiro - sem filhos</t>
  </si>
  <si>
    <t>Euro 2.000 / mês / SP solteiro - sem filhos</t>
  </si>
  <si>
    <t>Euro 3.000 / mês / SP solteiro - sem filhos</t>
  </si>
  <si>
    <t>Euro 5.000 / mês / SP solteiro - sem filhos</t>
  </si>
  <si>
    <t>Euro 10.000 / mês / SP solteiro - sem filhos</t>
  </si>
  <si>
    <t>Segurança Social (11%)</t>
  </si>
  <si>
    <t>SGT</t>
  </si>
  <si>
    <t>Retenção na Fonte</t>
  </si>
  <si>
    <t>Rendimento coletável</t>
  </si>
  <si>
    <t>Rendimento líquido mensal</t>
  </si>
  <si>
    <t>Euro 1.500 / mês / SP solteiro - 1 filho</t>
  </si>
  <si>
    <t>Euro 2.000 / mês / SP solteiro - 1 filho</t>
  </si>
  <si>
    <t>Euro 3.000 / mês / SP solteiro - 1 filho</t>
  </si>
  <si>
    <t>Euro 5.000 / mês / SP solteiro - 1 filho</t>
  </si>
  <si>
    <t>Euro 10.000 / mês / SP solteiro - 1 filho</t>
  </si>
  <si>
    <t>Euro 925 / mês / SP casado / 1 t / sem filhos</t>
  </si>
  <si>
    <t>Euro 925 / mês / SP casado / 1 t / 1 filho</t>
  </si>
  <si>
    <t>Euro 925 / mês / SP casado / 1 t / 2 filhos</t>
  </si>
  <si>
    <t>Euro 925 / mês / SP casado / 2 t / sem filhos</t>
  </si>
  <si>
    <t>Euro 925 / mês / SP casado / 2 t / 1 filho</t>
  </si>
  <si>
    <t>Euro 925 / mês / SP casado / 2 t / 2 filhos</t>
  </si>
  <si>
    <t>Euro 1.500 / mês / SP casado / 2 t / trib conj - 2 filhos</t>
  </si>
  <si>
    <t>Euro 2.000 / mês / SP casado / 1 t / sem filhos</t>
  </si>
  <si>
    <t>Euro 2.000 / mês / SP casado / 1 t / 1 filho</t>
  </si>
  <si>
    <t>Euro 2.000 / mês / SP casado / 1 t / 2 filhos</t>
  </si>
  <si>
    <t>Euro 2.000 / mês / SP casado / 2 t / sem filhos</t>
  </si>
  <si>
    <t>Euro 2.000 / mês / SP casado / 2 t / 1 filho</t>
  </si>
  <si>
    <t>Euro 1.500 / mês / SP casado / 1 t / sem filhos</t>
  </si>
  <si>
    <t>Euro 1.500 / mês / SP casado / 1 t / 1 filho</t>
  </si>
  <si>
    <t>Euro 1.500 / mês / SP casado / 1 t / 2 filhos</t>
  </si>
  <si>
    <t>Euro 1.500 / mês / SP casado / 2 t / sem filhos</t>
  </si>
  <si>
    <t>Euro 1.500 / mês / SP casado / 2 t / 1 filho</t>
  </si>
  <si>
    <t>Euro 10.000 / mês / SP casado / 1 t / sem filhos</t>
  </si>
  <si>
    <t>Euro 10.000 / mês / SP casado / 1 t / 1 filho</t>
  </si>
  <si>
    <t>Euro 10.000 / mês / SP casado / 1 t / 2 filhos</t>
  </si>
  <si>
    <t>Euro 10.000 / mês / SP casado / 2 t / sem filhos</t>
  </si>
  <si>
    <t>Euro 10.000 / mês / SP casado / 2 t / 1 filho</t>
  </si>
  <si>
    <t>Euro 10.000 / mês / SP casado / 2 t / 2 filhos</t>
  </si>
  <si>
    <t>Euro 2.000 / mês / SP casado / 2 t / 2 filhos</t>
  </si>
  <si>
    <t>Euro 3.000 / mês / SP casado / 1 t / sem filhos</t>
  </si>
  <si>
    <t>Euro 3.000 / mês / SP casado / 1 t / 1 filho</t>
  </si>
  <si>
    <t>Euro 3.000 / mês / SP casado / 1 t / 2 filhos</t>
  </si>
  <si>
    <t>Euro 3.000 / mês / SP casado / 2 t / sem filhos</t>
  </si>
  <si>
    <t>Euro 3.000 / mês / SP casado / 2 t / 1 filho</t>
  </si>
  <si>
    <t>Euro 3.000 / mês / SP casado / 2 t / 2 filhos</t>
  </si>
  <si>
    <t>Euro 5.000 / mês / SP casado / 1 t / sem filhos</t>
  </si>
  <si>
    <t>Euro 5.000 / mês / SP casado / 1 t / 1 filho</t>
  </si>
  <si>
    <t>Euro 5.000 / mês / SP casado / 1 t / 2 filhos</t>
  </si>
  <si>
    <t>Euro 5.000 / mês / SP casado / 2 t / sem filhos</t>
  </si>
  <si>
    <t>Euro 5.000 / mês / SP casado / 2 t / 1 filho</t>
  </si>
  <si>
    <t>Euro 5.000 / mês / SP casado / 2 t / 2 filhos</t>
  </si>
  <si>
    <t>Diferença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</si>
</sst>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1"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theme="0"/>
      <name val="EYInterstate Light"/>
    </font>
    <font>
      <b/>
      <sz val="14"/>
      <color theme="1"/>
      <name val="EYInterstate Light"/>
    </font>
    <font>
      <b/>
      <i/>
      <sz val="11"/>
      <color theme="0"/>
      <name val="EYInterstate Light"/>
    </font>
    <font>
      <b/>
      <sz val="8"/>
      <color theme="0"/>
      <name val="EYInterstate Light"/>
    </font>
    <font>
      <sz val="11"/>
      <color theme="0"/>
      <name val="EYInterstate Light"/>
    </font>
    <font>
      <sz val="10"/>
      <color theme="0"/>
      <name val="EYInterstate Light"/>
    </font>
    <font>
      <b/>
      <sz val="10"/>
      <name val="EYInterstate Light"/>
    </font>
    <font>
      <b/>
      <sz val="10"/>
      <color theme="1"/>
      <name val="EYInterstate Light"/>
    </font>
    <font>
      <sz val="10"/>
      <name val="EYInterstate Light"/>
    </font>
    <font>
      <sz val="8"/>
      <color theme="0"/>
      <name val="EYInterstate Light"/>
    </font>
    <font>
      <sz val="10"/>
      <color theme="1"/>
      <name val="Calibri"/>
      <family val="2"/>
      <scheme val="minor"/>
    </font>
    <font>
      <sz val="10"/>
      <color theme="1"/>
      <name val="EYInterstate Light"/>
    </font>
    <font>
      <sz val="10"/>
      <color rgb="FF00B050"/>
      <name val="EYInterstate Light"/>
    </font>
    <font>
      <sz val="12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8"/>
      <color rgb="FFFF0000"/>
      <name val="EYInterstate Light"/>
    </font>
    <font>
      <sz val="12"/>
      <color theme="0"/>
      <name val="Times New Roman"/>
      <family val="1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6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9">
    <xf numFmtId="0" fontId="0" fillId="0" borderId="0"/>
    <xf numFmtId="9" fontId="25" fillId="0" borderId="0" applyFont="0" applyFill="0" applyBorder="0" applyAlignment="0" applyProtection="0"/>
    <xf numFmtId="0" fontId="8" fillId="0" borderId="0"/>
    <xf numFmtId="0" fontId="22" fillId="0" borderId="0"/>
    <xf numFmtId="0" fontId="8" fillId="0" borderId="0"/>
    <xf numFmtId="0" fontId="27" fillId="0" borderId="0"/>
    <xf numFmtId="9" fontId="22" fillId="0" borderId="0" applyFont="0" applyFill="0" applyBorder="0" applyAlignment="0" applyProtection="0"/>
    <xf numFmtId="0" fontId="7" fillId="0" borderId="0"/>
    <xf numFmtId="0" fontId="22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</cellStyleXfs>
  <cellXfs count="104">
    <xf numFmtId="0" fontId="0" fillId="0" borderId="0" xfId="0"/>
    <xf numFmtId="0" fontId="10" fillId="0" borderId="0" xfId="2" applyFont="1"/>
    <xf numFmtId="0" fontId="11" fillId="0" borderId="0" xfId="2" applyFont="1"/>
    <xf numFmtId="0" fontId="8" fillId="0" borderId="0" xfId="2"/>
    <xf numFmtId="4" fontId="10" fillId="0" borderId="0" xfId="2" applyNumberFormat="1" applyFont="1"/>
    <xf numFmtId="0" fontId="12" fillId="0" borderId="0" xfId="2" applyFont="1"/>
    <xf numFmtId="0" fontId="13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vertical="center"/>
    </xf>
    <xf numFmtId="0" fontId="15" fillId="2" borderId="0" xfId="2" applyFont="1" applyFill="1" applyBorder="1" applyAlignment="1">
      <alignment vertical="center"/>
    </xf>
    <xf numFmtId="0" fontId="16" fillId="2" borderId="0" xfId="2" applyFont="1" applyFill="1" applyBorder="1" applyAlignment="1">
      <alignment vertical="center"/>
    </xf>
    <xf numFmtId="0" fontId="17" fillId="0" borderId="0" xfId="2" applyFont="1"/>
    <xf numFmtId="0" fontId="19" fillId="3" borderId="2" xfId="2" applyFont="1" applyFill="1" applyBorder="1" applyAlignment="1">
      <alignment horizontal="center"/>
    </xf>
    <xf numFmtId="0" fontId="19" fillId="3" borderId="2" xfId="2" applyFont="1" applyFill="1" applyBorder="1" applyAlignment="1">
      <alignment horizontal="center" vertical="center"/>
    </xf>
    <xf numFmtId="0" fontId="21" fillId="0" borderId="0" xfId="2" applyFont="1"/>
    <xf numFmtId="0" fontId="17" fillId="2" borderId="0" xfId="3" applyFont="1" applyFill="1" applyAlignment="1" applyProtection="1">
      <alignment horizontal="right" vertical="center"/>
      <protection hidden="1"/>
    </xf>
    <xf numFmtId="0" fontId="18" fillId="2" borderId="2" xfId="3" applyFont="1" applyFill="1" applyBorder="1" applyProtection="1">
      <protection hidden="1"/>
    </xf>
    <xf numFmtId="164" fontId="20" fillId="2" borderId="2" xfId="2" applyNumberFormat="1" applyFont="1" applyFill="1" applyBorder="1"/>
    <xf numFmtId="0" fontId="21" fillId="2" borderId="0" xfId="3" applyFont="1" applyFill="1" applyAlignment="1" applyProtection="1">
      <alignment horizontal="right" vertical="center"/>
      <protection hidden="1"/>
    </xf>
    <xf numFmtId="0" fontId="10" fillId="2" borderId="0" xfId="2" applyFont="1" applyFill="1"/>
    <xf numFmtId="0" fontId="8" fillId="2" borderId="0" xfId="2" applyFill="1"/>
    <xf numFmtId="4" fontId="10" fillId="2" borderId="0" xfId="2" applyNumberFormat="1" applyFont="1" applyFill="1"/>
    <xf numFmtId="4" fontId="21" fillId="2" borderId="0" xfId="3" applyNumberFormat="1" applyFont="1" applyFill="1" applyAlignment="1" applyProtection="1">
      <alignment horizontal="right" vertical="center"/>
      <protection hidden="1"/>
    </xf>
    <xf numFmtId="164" fontId="20" fillId="2" borderId="2" xfId="2" applyNumberFormat="1" applyFont="1" applyFill="1" applyBorder="1" applyAlignment="1">
      <alignment horizontal="center"/>
    </xf>
    <xf numFmtId="0" fontId="17" fillId="2" borderId="0" xfId="3" applyFont="1" applyFill="1" applyAlignment="1" applyProtection="1">
      <alignment horizontal="right"/>
      <protection hidden="1"/>
    </xf>
    <xf numFmtId="4" fontId="21" fillId="2" borderId="0" xfId="3" applyNumberFormat="1" applyFont="1" applyFill="1" applyAlignment="1" applyProtection="1">
      <alignment horizontal="right"/>
      <protection hidden="1"/>
    </xf>
    <xf numFmtId="0" fontId="17" fillId="2" borderId="0" xfId="2" applyFont="1" applyFill="1"/>
    <xf numFmtId="0" fontId="23" fillId="2" borderId="0" xfId="2" applyFont="1" applyFill="1"/>
    <xf numFmtId="164" fontId="23" fillId="2" borderId="0" xfId="2" applyNumberFormat="1" applyFont="1" applyFill="1"/>
    <xf numFmtId="0" fontId="21" fillId="2" borderId="0" xfId="2" applyFont="1" applyFill="1"/>
    <xf numFmtId="0" fontId="18" fillId="2" borderId="3" xfId="3" applyFont="1" applyFill="1" applyBorder="1" applyProtection="1">
      <protection hidden="1"/>
    </xf>
    <xf numFmtId="164" fontId="23" fillId="2" borderId="3" xfId="2" applyNumberFormat="1" applyFont="1" applyFill="1" applyBorder="1"/>
    <xf numFmtId="164" fontId="23" fillId="2" borderId="4" xfId="2" applyNumberFormat="1" applyFont="1" applyFill="1" applyBorder="1"/>
    <xf numFmtId="164" fontId="23" fillId="0" borderId="3" xfId="2" applyNumberFormat="1" applyFont="1" applyBorder="1"/>
    <xf numFmtId="164" fontId="23" fillId="0" borderId="0" xfId="2" applyNumberFormat="1" applyFont="1" applyBorder="1"/>
    <xf numFmtId="0" fontId="21" fillId="2" borderId="0" xfId="3" applyFont="1" applyFill="1" applyAlignment="1" applyProtection="1">
      <alignment horizontal="right"/>
      <protection hidden="1"/>
    </xf>
    <xf numFmtId="0" fontId="18" fillId="2" borderId="4" xfId="3" applyFont="1" applyFill="1" applyBorder="1" applyProtection="1">
      <protection hidden="1"/>
    </xf>
    <xf numFmtId="0" fontId="18" fillId="2" borderId="0" xfId="3" applyFont="1" applyFill="1" applyBorder="1" applyProtection="1">
      <protection hidden="1"/>
    </xf>
    <xf numFmtId="164" fontId="23" fillId="2" borderId="0" xfId="2" applyNumberFormat="1" applyFont="1" applyFill="1" applyBorder="1"/>
    <xf numFmtId="4" fontId="21" fillId="2" borderId="0" xfId="2" applyNumberFormat="1" applyFont="1" applyFill="1"/>
    <xf numFmtId="164" fontId="21" fillId="2" borderId="0" xfId="2" applyNumberFormat="1" applyFont="1" applyFill="1"/>
    <xf numFmtId="0" fontId="20" fillId="2" borderId="0" xfId="2" applyFont="1" applyFill="1"/>
    <xf numFmtId="164" fontId="20" fillId="2" borderId="0" xfId="2" applyNumberFormat="1" applyFont="1" applyFill="1"/>
    <xf numFmtId="164" fontId="20" fillId="2" borderId="4" xfId="2" applyNumberFormat="1" applyFont="1" applyFill="1" applyBorder="1"/>
    <xf numFmtId="164" fontId="20" fillId="2" borderId="0" xfId="2" applyNumberFormat="1" applyFont="1" applyFill="1" applyBorder="1"/>
    <xf numFmtId="0" fontId="18" fillId="3" borderId="2" xfId="2" applyFont="1" applyFill="1" applyBorder="1" applyAlignment="1">
      <alignment horizontal="center"/>
    </xf>
    <xf numFmtId="0" fontId="18" fillId="3" borderId="2" xfId="2" applyFont="1" applyFill="1" applyBorder="1" applyAlignment="1">
      <alignment horizontal="center" vertical="center"/>
    </xf>
    <xf numFmtId="9" fontId="21" fillId="2" borderId="0" xfId="2" applyNumberFormat="1" applyFont="1" applyFill="1"/>
    <xf numFmtId="164" fontId="20" fillId="2" borderId="3" xfId="2" applyNumberFormat="1" applyFont="1" applyFill="1" applyBorder="1"/>
    <xf numFmtId="164" fontId="20" fillId="0" borderId="3" xfId="2" applyNumberFormat="1" applyFont="1" applyBorder="1"/>
    <xf numFmtId="164" fontId="20" fillId="0" borderId="0" xfId="2" applyNumberFormat="1" applyFont="1" applyBorder="1"/>
    <xf numFmtId="164" fontId="24" fillId="2" borderId="0" xfId="2" applyNumberFormat="1" applyFont="1" applyFill="1"/>
    <xf numFmtId="2" fontId="20" fillId="0" borderId="0" xfId="2" applyNumberFormat="1" applyFont="1" applyBorder="1"/>
    <xf numFmtId="2" fontId="23" fillId="0" borderId="0" xfId="2" applyNumberFormat="1" applyFont="1" applyBorder="1"/>
    <xf numFmtId="9" fontId="21" fillId="2" borderId="0" xfId="1" applyFont="1" applyFill="1" applyAlignment="1" applyProtection="1">
      <alignment horizontal="right" vertical="center"/>
      <protection hidden="1"/>
    </xf>
    <xf numFmtId="0" fontId="26" fillId="0" borderId="0" xfId="2" applyFont="1"/>
    <xf numFmtId="164" fontId="17" fillId="2" borderId="5" xfId="2" applyNumberFormat="1" applyFont="1" applyFill="1" applyBorder="1"/>
    <xf numFmtId="0" fontId="9" fillId="0" borderId="0" xfId="2" applyFont="1"/>
    <xf numFmtId="164" fontId="11" fillId="0" borderId="0" xfId="2" applyNumberFormat="1" applyFont="1"/>
    <xf numFmtId="164" fontId="19" fillId="2" borderId="4" xfId="2" applyNumberFormat="1" applyFont="1" applyFill="1" applyBorder="1"/>
    <xf numFmtId="0" fontId="10" fillId="0" borderId="0" xfId="2" applyFont="1" applyFill="1"/>
    <xf numFmtId="0" fontId="14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vertical="center"/>
    </xf>
    <xf numFmtId="164" fontId="20" fillId="0" borderId="0" xfId="2" applyNumberFormat="1" applyFont="1" applyFill="1" applyBorder="1"/>
    <xf numFmtId="164" fontId="20" fillId="0" borderId="0" xfId="2" applyNumberFormat="1" applyFont="1" applyFill="1" applyBorder="1" applyAlignment="1">
      <alignment horizontal="center"/>
    </xf>
    <xf numFmtId="164" fontId="23" fillId="0" borderId="0" xfId="2" applyNumberFormat="1" applyFont="1" applyFill="1" applyBorder="1"/>
    <xf numFmtId="0" fontId="19" fillId="0" borderId="0" xfId="2" applyFont="1" applyFill="1" applyBorder="1" applyAlignment="1">
      <alignment horizontal="center" vertical="center"/>
    </xf>
    <xf numFmtId="2" fontId="20" fillId="0" borderId="0" xfId="2" applyNumberFormat="1" applyFont="1" applyFill="1" applyBorder="1"/>
    <xf numFmtId="0" fontId="12" fillId="0" borderId="0" xfId="2" applyFont="1" applyFill="1" applyBorder="1"/>
    <xf numFmtId="0" fontId="10" fillId="0" borderId="0" xfId="2" applyFont="1" applyFill="1" applyBorder="1"/>
    <xf numFmtId="0" fontId="26" fillId="0" borderId="0" xfId="2" applyFont="1" applyFill="1" applyBorder="1"/>
    <xf numFmtId="0" fontId="18" fillId="4" borderId="2" xfId="2" applyFont="1" applyFill="1" applyBorder="1" applyAlignment="1">
      <alignment horizontal="center"/>
    </xf>
    <xf numFmtId="0" fontId="18" fillId="4" borderId="2" xfId="2" applyFont="1" applyFill="1" applyBorder="1" applyAlignment="1">
      <alignment horizontal="center" vertical="center"/>
    </xf>
    <xf numFmtId="0" fontId="19" fillId="4" borderId="0" xfId="2" applyFont="1" applyFill="1" applyBorder="1" applyAlignment="1">
      <alignment horizontal="center" vertical="center"/>
    </xf>
    <xf numFmtId="0" fontId="18" fillId="4" borderId="2" xfId="3" applyFont="1" applyFill="1" applyBorder="1" applyProtection="1">
      <protection hidden="1"/>
    </xf>
    <xf numFmtId="164" fontId="20" fillId="4" borderId="2" xfId="2" applyNumberFormat="1" applyFont="1" applyFill="1" applyBorder="1"/>
    <xf numFmtId="164" fontId="20" fillId="4" borderId="0" xfId="2" applyNumberFormat="1" applyFont="1" applyFill="1" applyBorder="1"/>
    <xf numFmtId="164" fontId="20" fillId="4" borderId="0" xfId="2" applyNumberFormat="1" applyFont="1" applyFill="1" applyBorder="1" applyAlignment="1">
      <alignment horizontal="center"/>
    </xf>
    <xf numFmtId="0" fontId="28" fillId="2" borderId="0" xfId="2" applyFont="1" applyFill="1" applyAlignment="1">
      <alignment horizontal="right"/>
    </xf>
    <xf numFmtId="164" fontId="28" fillId="2" borderId="0" xfId="2" applyNumberFormat="1" applyFont="1" applyFill="1" applyAlignment="1">
      <alignment horizontal="right"/>
    </xf>
    <xf numFmtId="164" fontId="23" fillId="2" borderId="2" xfId="2" applyNumberFormat="1" applyFont="1" applyFill="1" applyBorder="1"/>
    <xf numFmtId="0" fontId="18" fillId="5" borderId="2" xfId="15" applyFont="1" applyFill="1" applyBorder="1" applyAlignment="1">
      <alignment horizontal="center"/>
    </xf>
    <xf numFmtId="0" fontId="0" fillId="2" borderId="0" xfId="0" applyFill="1"/>
    <xf numFmtId="164" fontId="0" fillId="2" borderId="0" xfId="0" applyNumberFormat="1" applyFill="1"/>
    <xf numFmtId="0" fontId="0" fillId="2" borderId="0" xfId="0" applyFill="1" applyBorder="1"/>
    <xf numFmtId="0" fontId="7" fillId="2" borderId="0" xfId="7" applyFill="1"/>
    <xf numFmtId="0" fontId="29" fillId="2" borderId="0" xfId="0" applyFont="1" applyFill="1"/>
    <xf numFmtId="0" fontId="29" fillId="2" borderId="0" xfId="0" applyFont="1" applyFill="1" applyAlignment="1">
      <alignment horizontal="center"/>
    </xf>
    <xf numFmtId="4" fontId="29" fillId="2" borderId="0" xfId="0" applyNumberFormat="1" applyFont="1" applyFill="1"/>
    <xf numFmtId="4" fontId="29" fillId="2" borderId="0" xfId="0" applyNumberFormat="1" applyFont="1" applyFill="1" applyAlignment="1">
      <alignment horizontal="center"/>
    </xf>
    <xf numFmtId="4" fontId="29" fillId="2" borderId="0" xfId="0" applyNumberFormat="1" applyFont="1" applyFill="1" applyAlignment="1">
      <alignment horizontal="right"/>
    </xf>
    <xf numFmtId="0" fontId="29" fillId="2" borderId="0" xfId="0" applyFont="1" applyFill="1" applyAlignment="1">
      <alignment horizontal="right"/>
    </xf>
    <xf numFmtId="164" fontId="17" fillId="2" borderId="0" xfId="0" applyNumberFormat="1" applyFont="1" applyFill="1"/>
    <xf numFmtId="164" fontId="17" fillId="2" borderId="0" xfId="0" applyNumberFormat="1" applyFont="1" applyFill="1" applyAlignment="1">
      <alignment horizontal="center" vertical="center"/>
    </xf>
    <xf numFmtId="0" fontId="19" fillId="5" borderId="2" xfId="15" applyFont="1" applyFill="1" applyBorder="1" applyAlignment="1">
      <alignment horizontal="center"/>
    </xf>
    <xf numFmtId="0" fontId="30" fillId="2" borderId="0" xfId="0" applyFont="1" applyFill="1"/>
    <xf numFmtId="0" fontId="0" fillId="2" borderId="0" xfId="0" applyFont="1" applyFill="1"/>
    <xf numFmtId="0" fontId="1" fillId="2" borderId="0" xfId="0" applyNumberFormat="1" applyFont="1" applyFill="1" applyBorder="1" applyAlignment="1" applyProtection="1"/>
    <xf numFmtId="164" fontId="1" fillId="2" borderId="0" xfId="2" applyNumberFormat="1" applyFont="1" applyFill="1"/>
    <xf numFmtId="164" fontId="30" fillId="2" borderId="0" xfId="0" applyNumberFormat="1" applyFont="1" applyFill="1"/>
    <xf numFmtId="0" fontId="18" fillId="0" borderId="2" xfId="3" applyFont="1" applyFill="1" applyBorder="1" applyProtection="1">
      <protection hidden="1"/>
    </xf>
    <xf numFmtId="164" fontId="23" fillId="0" borderId="2" xfId="2" applyNumberFormat="1" applyFont="1" applyFill="1" applyBorder="1"/>
    <xf numFmtId="164" fontId="20" fillId="0" borderId="2" xfId="2" applyNumberFormat="1" applyFont="1" applyFill="1" applyBorder="1"/>
    <xf numFmtId="164" fontId="20" fillId="0" borderId="2" xfId="0" applyNumberFormat="1" applyFont="1" applyFill="1" applyBorder="1"/>
    <xf numFmtId="0" fontId="18" fillId="0" borderId="1" xfId="2" applyFont="1" applyBorder="1" applyAlignment="1">
      <alignment horizontal="right" vertical="top" wrapText="1"/>
    </xf>
  </cellXfs>
  <cellStyles count="29">
    <cellStyle name="Normal" xfId="0" builtinId="0"/>
    <cellStyle name="Normal 2" xfId="15" xr:uid="{8A2B600D-1CC6-4D2D-9583-DB7FA15E872F}"/>
    <cellStyle name="Normal 2 10" xfId="5" xr:uid="{00000000-0005-0000-0000-000002000000}"/>
    <cellStyle name="Normal 2 2" xfId="25" xr:uid="{3EC10CEF-FE75-4388-8502-4489C5FCE498}"/>
    <cellStyle name="Normal 2 27" xfId="7" xr:uid="{00000000-0005-0000-0000-000003000000}"/>
    <cellStyle name="Normal 2 27 2" xfId="18" xr:uid="{A1526B7D-981D-4964-B6E4-8E65D230E256}"/>
    <cellStyle name="Normal 2 5 2" xfId="4" xr:uid="{00000000-0005-0000-0000-000004000000}"/>
    <cellStyle name="Normal 2 5 2 2" xfId="9" xr:uid="{00000000-0005-0000-0000-000005000000}"/>
    <cellStyle name="Normal 2 5 2 2 2" xfId="19" xr:uid="{A63F9D65-3C62-4576-A55B-878A36E1562A}"/>
    <cellStyle name="Normal 2 5 2 3" xfId="11" xr:uid="{00000000-0005-0000-0000-000006000000}"/>
    <cellStyle name="Normal 2 5 2 3 2" xfId="21" xr:uid="{D8102FEF-20FD-40A2-B3CB-3835560AD85F}"/>
    <cellStyle name="Normal 2 5 2 4" xfId="13" xr:uid="{00000000-0005-0000-0000-000007000000}"/>
    <cellStyle name="Normal 2 5 2 4 2" xfId="23" xr:uid="{E50DE31D-6949-409E-8235-00E56B8E9488}"/>
    <cellStyle name="Normal 2 5 2 5" xfId="17" xr:uid="{6D74D8B7-2FAD-496D-BBA9-4C610623771D}"/>
    <cellStyle name="Normal 2 6" xfId="2" xr:uid="{00000000-0005-0000-0000-000008000000}"/>
    <cellStyle name="Normal 2 6 2" xfId="10" xr:uid="{00000000-0005-0000-0000-000009000000}"/>
    <cellStyle name="Normal 2 6 2 2" xfId="20" xr:uid="{3745E1A8-78EB-4790-BCC3-B232C636142A}"/>
    <cellStyle name="Normal 2 6 3" xfId="12" xr:uid="{00000000-0005-0000-0000-00000A000000}"/>
    <cellStyle name="Normal 2 6 3 2" xfId="22" xr:uid="{DC447F14-8486-448E-B569-9301C6FB6E39}"/>
    <cellStyle name="Normal 2 6 4" xfId="14" xr:uid="{00000000-0005-0000-0000-00000B000000}"/>
    <cellStyle name="Normal 2 6 4 2" xfId="24" xr:uid="{09581A20-23DB-4040-9E89-37031AB11C72}"/>
    <cellStyle name="Normal 2 6 5" xfId="16" xr:uid="{AEF6F28B-20D9-499F-80CD-21BC4F9C6C52}"/>
    <cellStyle name="Normal 20" xfId="28" xr:uid="{DED4080E-51CD-4F4B-A12C-ACC6C49795CA}"/>
    <cellStyle name="Normal 3" xfId="26" xr:uid="{F39889AE-64FA-4B85-8B16-F7649BC237B9}"/>
    <cellStyle name="Normal 4" xfId="3" xr:uid="{00000000-0005-0000-0000-00000C000000}"/>
    <cellStyle name="Normal 4 15" xfId="8" xr:uid="{00000000-0005-0000-0000-00000D000000}"/>
    <cellStyle name="Percent 3" xfId="6" xr:uid="{00000000-0005-0000-0000-000010000000}"/>
    <cellStyle name="Percentagem" xfId="1" builtinId="5"/>
    <cellStyle name="Percentagem 2" xfId="27" xr:uid="{255845A6-3820-4784-932A-25888E41F061}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463127</xdr:colOff>
      <xdr:row>5</xdr:row>
      <xdr:rowOff>39007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EF2A804-73EB-4CBD-99F9-D45E29892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63551" cy="10267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paulo.nuncio/AppData/Local/Microsoft/Windows/Temporary%20Internet%20Files/Content.Outlook/XEV4A431/Modelo%20TRF%202013_v14.1.2013_vf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de Decisão"/>
      <sheetName val="Hipóteses OE2013"/>
      <sheetName val="Medidas OE2013"/>
      <sheetName val="Cenário Base"/>
      <sheetName val="Cenários RF 2013"/>
      <sheetName val="Cenário NM - Receita 2013"/>
      <sheetName val="Rendimento - Categoria A 2013"/>
      <sheetName val="Rendimento - Categoria H 2013"/>
      <sheetName val="Cenário NM - Categoria A 2013"/>
      <sheetName val="Cenário B2 - Categoria H 2013"/>
      <sheetName val="Cenário NM - Categoria H 2013"/>
      <sheetName val="Tabelas RF 2012"/>
      <sheetName val="Tabelas Cen. NM RF 2013"/>
      <sheetName val="A (priv) - Solteiro 0 filhos"/>
      <sheetName val="A (priv) - Casado 1 filho"/>
      <sheetName val="A (pub) - Solteiro 0 filhos"/>
      <sheetName val="A (pub) - Casado 1 filho"/>
      <sheetName val="H - Solteiro_Casado"/>
      <sheetName val="Privados Exemplos - RF"/>
      <sheetName val="Privados Exemplos - Liq"/>
      <sheetName val="FP Exemplos"/>
      <sheetName val="B2 - trabalho dependente (2013)"/>
      <sheetName val="B2 - pensões (2013)"/>
      <sheetName val="Pensões Exemplos"/>
      <sheetName val="trabalho dependente (2012)"/>
      <sheetName val="trabalho dependente FP (2012)"/>
      <sheetName val="pensões (2012)"/>
      <sheetName val="trabalho dependente (2013)"/>
      <sheetName val="trabalho dependente FP (2013)"/>
      <sheetName val="pensões (201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2:Y286"/>
  <sheetViews>
    <sheetView showGridLines="0" topLeftCell="G208" zoomScale="80" zoomScaleNormal="80" zoomScaleSheetLayoutView="90" workbookViewId="0">
      <selection activeCell="K233" sqref="K233"/>
    </sheetView>
  </sheetViews>
  <sheetFormatPr defaultColWidth="9.875" defaultRowHeight="15.75"/>
  <cols>
    <col min="1" max="1" width="9.875" style="1"/>
    <col min="2" max="2" width="14.375" style="1" customWidth="1"/>
    <col min="3" max="3" width="50.125" style="1" customWidth="1"/>
    <col min="4" max="4" width="14.375" style="1" hidden="1" customWidth="1"/>
    <col min="5" max="6" width="14.375" style="1" customWidth="1"/>
    <col min="7" max="7" width="14.375" style="59" customWidth="1"/>
    <col min="8" max="8" width="50.125" style="1" customWidth="1"/>
    <col min="9" max="9" width="14.375" style="1" hidden="1" customWidth="1"/>
    <col min="10" max="11" width="14.375" style="1" customWidth="1"/>
    <col min="12" max="12" width="14.375" style="59" customWidth="1"/>
    <col min="13" max="13" width="49.625" style="1" customWidth="1"/>
    <col min="14" max="14" width="12.375" style="1" hidden="1" customWidth="1"/>
    <col min="15" max="15" width="12.375" style="1" customWidth="1"/>
    <col min="16" max="16" width="14.375" style="1" customWidth="1"/>
    <col min="17" max="17" width="12.125" style="2" customWidth="1"/>
    <col min="18" max="18" width="10.125" style="1" hidden="1" customWidth="1"/>
    <col min="19" max="19" width="10.875" style="1" hidden="1" customWidth="1"/>
    <col min="24" max="24" width="9.875" style="3"/>
    <col min="25" max="25" width="9.875" style="4"/>
    <col min="26" max="16384" width="9.875" style="3"/>
  </cols>
  <sheetData>
    <row r="2" spans="1:25">
      <c r="E2" s="5" t="s">
        <v>0</v>
      </c>
      <c r="F2" s="5"/>
      <c r="G2" s="67"/>
      <c r="J2" s="5" t="s">
        <v>0</v>
      </c>
      <c r="K2" s="5"/>
      <c r="L2" s="67"/>
      <c r="P2" s="5"/>
    </row>
    <row r="3" spans="1:25" ht="20.25" customHeight="1">
      <c r="A3" s="6"/>
      <c r="B3" s="6"/>
      <c r="C3" s="6"/>
      <c r="D3" s="6"/>
      <c r="E3" s="7" t="s">
        <v>1</v>
      </c>
      <c r="F3" s="7"/>
      <c r="G3" s="60"/>
      <c r="H3" s="6"/>
      <c r="I3" s="6"/>
      <c r="J3" s="7" t="s">
        <v>1</v>
      </c>
      <c r="K3" s="7"/>
      <c r="L3" s="60"/>
      <c r="M3" s="6"/>
      <c r="O3" s="6"/>
      <c r="P3" s="7"/>
      <c r="Q3" s="8"/>
    </row>
    <row r="4" spans="1:25" ht="15" customHeight="1">
      <c r="A4" s="6"/>
      <c r="B4" s="6"/>
      <c r="C4" s="6"/>
      <c r="D4" s="6"/>
      <c r="E4" s="9" t="s">
        <v>2</v>
      </c>
      <c r="F4" s="9"/>
      <c r="G4" s="61"/>
      <c r="H4" s="6"/>
      <c r="I4" s="6"/>
      <c r="J4" s="9" t="s">
        <v>2</v>
      </c>
      <c r="K4" s="9"/>
      <c r="L4" s="61"/>
      <c r="M4" s="6"/>
      <c r="O4" s="6"/>
      <c r="P4" s="9"/>
      <c r="Q4" s="8"/>
    </row>
    <row r="5" spans="1:25">
      <c r="G5" s="68"/>
      <c r="L5" s="68"/>
    </row>
    <row r="6" spans="1:25">
      <c r="G6" s="68"/>
      <c r="L6" s="68"/>
    </row>
    <row r="7" spans="1:25" ht="16.5" customHeight="1">
      <c r="A7" s="10"/>
      <c r="B7" s="103" t="s">
        <v>3</v>
      </c>
      <c r="C7" s="11" t="s">
        <v>4</v>
      </c>
      <c r="D7" s="12">
        <v>2016</v>
      </c>
      <c r="E7" s="12">
        <v>2017</v>
      </c>
      <c r="F7" s="12">
        <v>2018</v>
      </c>
      <c r="G7" s="65"/>
      <c r="H7" s="11" t="s">
        <v>5</v>
      </c>
      <c r="I7" s="12">
        <v>2016</v>
      </c>
      <c r="J7" s="12">
        <v>2017</v>
      </c>
      <c r="K7" s="12">
        <v>2018</v>
      </c>
      <c r="L7" s="65"/>
      <c r="M7" s="11" t="s">
        <v>6</v>
      </c>
      <c r="N7" s="12">
        <v>2016</v>
      </c>
      <c r="O7" s="12">
        <v>2017</v>
      </c>
      <c r="P7" s="12">
        <v>2018</v>
      </c>
      <c r="Q7" s="13"/>
    </row>
    <row r="8" spans="1:25" s="19" customFormat="1" ht="15">
      <c r="A8" s="14" t="s">
        <v>7</v>
      </c>
      <c r="B8" s="103"/>
      <c r="C8" s="15" t="s">
        <v>8</v>
      </c>
      <c r="D8" s="16">
        <f>750*14</f>
        <v>10500</v>
      </c>
      <c r="E8" s="16">
        <f>750*14</f>
        <v>10500</v>
      </c>
      <c r="F8" s="16">
        <f>750*14</f>
        <v>10500</v>
      </c>
      <c r="G8" s="62"/>
      <c r="H8" s="15" t="s">
        <v>8</v>
      </c>
      <c r="I8" s="16">
        <f>750*14</f>
        <v>10500</v>
      </c>
      <c r="J8" s="16">
        <f>925*14</f>
        <v>12950</v>
      </c>
      <c r="K8" s="16">
        <f>925*14</f>
        <v>12950</v>
      </c>
      <c r="L8" s="62"/>
      <c r="M8" s="15" t="s">
        <v>8</v>
      </c>
      <c r="N8" s="16">
        <f>1000*14</f>
        <v>14000</v>
      </c>
      <c r="O8" s="16">
        <f>1000*14</f>
        <v>14000</v>
      </c>
      <c r="P8" s="16">
        <f>1000*14</f>
        <v>14000</v>
      </c>
      <c r="Q8" s="17"/>
      <c r="R8" s="18"/>
      <c r="S8" s="18"/>
      <c r="Y8" s="20"/>
    </row>
    <row r="9" spans="1:25" s="19" customFormat="1" ht="15">
      <c r="A9" s="14" t="s">
        <v>9</v>
      </c>
      <c r="B9" s="103"/>
      <c r="C9" s="15" t="s">
        <v>10</v>
      </c>
      <c r="D9" s="16">
        <v>-4104</v>
      </c>
      <c r="E9" s="16">
        <f>-MAX(4104,D8*11%)</f>
        <v>-4104</v>
      </c>
      <c r="F9" s="16">
        <f>-MAX(4104,E8*11%)</f>
        <v>-4104</v>
      </c>
      <c r="G9" s="62"/>
      <c r="H9" s="15" t="s">
        <v>10</v>
      </c>
      <c r="I9" s="16">
        <v>-4104</v>
      </c>
      <c r="J9" s="16">
        <f>-MAX(4104,J8*11%)</f>
        <v>-4104</v>
      </c>
      <c r="K9" s="16">
        <f>-MAX(4104,J8*11%)</f>
        <v>-4104</v>
      </c>
      <c r="L9" s="62"/>
      <c r="M9" s="15" t="s">
        <v>10</v>
      </c>
      <c r="N9" s="16">
        <v>-4104</v>
      </c>
      <c r="O9" s="16">
        <f>-MAX(4104,O8*0.11)</f>
        <v>-4104</v>
      </c>
      <c r="P9" s="16">
        <f>-MAX(4104,P8*0.11)</f>
        <v>-4104</v>
      </c>
      <c r="Q9" s="21">
        <f>0.285*N10-984.9</f>
        <v>1835.4599999999996</v>
      </c>
      <c r="R9" s="18"/>
      <c r="S9" s="18"/>
      <c r="Y9" s="20"/>
    </row>
    <row r="10" spans="1:25" s="19" customFormat="1" ht="15">
      <c r="A10" s="14"/>
      <c r="B10" s="14"/>
      <c r="C10" s="15" t="s">
        <v>11</v>
      </c>
      <c r="D10" s="16">
        <f>+D8+D9</f>
        <v>6396</v>
      </c>
      <c r="E10" s="16">
        <f>+E8+E9</f>
        <v>6396</v>
      </c>
      <c r="F10" s="16">
        <f>+F8+F9</f>
        <v>6396</v>
      </c>
      <c r="G10" s="62"/>
      <c r="H10" s="15" t="s">
        <v>11</v>
      </c>
      <c r="I10" s="16">
        <f>+I8+I9</f>
        <v>6396</v>
      </c>
      <c r="J10" s="16">
        <f>+J8+J9</f>
        <v>8846</v>
      </c>
      <c r="K10" s="16">
        <f>+K8+K9</f>
        <v>8846</v>
      </c>
      <c r="L10" s="62"/>
      <c r="M10" s="15" t="s">
        <v>11</v>
      </c>
      <c r="N10" s="16">
        <f>+N8+N9</f>
        <v>9896</v>
      </c>
      <c r="O10" s="16">
        <f>SUM(O8:O9)</f>
        <v>9896</v>
      </c>
      <c r="P10" s="16">
        <f>SUM(P8:P9)</f>
        <v>9896</v>
      </c>
      <c r="Q10" s="21">
        <v>0.01</v>
      </c>
      <c r="R10" s="18"/>
      <c r="S10" s="18"/>
      <c r="Y10" s="20"/>
    </row>
    <row r="11" spans="1:25" s="19" customFormat="1" ht="15" hidden="1">
      <c r="A11" s="14"/>
      <c r="B11" s="14"/>
      <c r="C11" s="15" t="s">
        <v>12</v>
      </c>
      <c r="D11" s="22"/>
      <c r="E11" s="22"/>
      <c r="F11" s="22"/>
      <c r="G11" s="63"/>
      <c r="H11" s="15" t="s">
        <v>12</v>
      </c>
      <c r="I11" s="22"/>
      <c r="J11" s="22"/>
      <c r="K11" s="22"/>
      <c r="L11" s="63"/>
      <c r="M11" s="15" t="s">
        <v>12</v>
      </c>
      <c r="N11" s="22"/>
      <c r="O11" s="22"/>
      <c r="P11" s="22"/>
      <c r="Q11" s="21"/>
      <c r="R11" s="18"/>
      <c r="S11" s="18"/>
      <c r="Y11" s="20"/>
    </row>
    <row r="12" spans="1:25" s="19" customFormat="1" ht="15">
      <c r="A12" s="14" t="s">
        <v>9</v>
      </c>
      <c r="B12" s="14"/>
      <c r="C12" s="15" t="s">
        <v>13</v>
      </c>
      <c r="D12" s="16">
        <f>+(D10*0.145)</f>
        <v>927.42</v>
      </c>
      <c r="E12" s="16">
        <f>+(E10*0.145)</f>
        <v>927.42</v>
      </c>
      <c r="F12" s="16">
        <f>+(F10*0.145)</f>
        <v>927.42</v>
      </c>
      <c r="G12" s="62"/>
      <c r="H12" s="15" t="s">
        <v>13</v>
      </c>
      <c r="I12" s="16">
        <f>+(I10*0.145)</f>
        <v>927.42</v>
      </c>
      <c r="J12" s="16">
        <f>(J10*28.5%)-992.74</f>
        <v>1528.3699999999997</v>
      </c>
      <c r="K12" s="16">
        <f>(K10*28.5%)-992.74</f>
        <v>1528.3699999999997</v>
      </c>
      <c r="L12" s="62"/>
      <c r="M12" s="15" t="s">
        <v>13</v>
      </c>
      <c r="N12" s="16">
        <f>1835.46</f>
        <v>1835.46</v>
      </c>
      <c r="O12" s="16">
        <f>(0.285*O10)-992.74</f>
        <v>1827.6199999999997</v>
      </c>
      <c r="P12" s="16">
        <f>(0.285*P10)-992.74</f>
        <v>1827.6199999999997</v>
      </c>
      <c r="Q12" s="21">
        <f>+N10-(530*14)</f>
        <v>2476</v>
      </c>
      <c r="R12" s="18"/>
      <c r="S12" s="18"/>
      <c r="Y12" s="20"/>
    </row>
    <row r="13" spans="1:25" s="19" customFormat="1" ht="15">
      <c r="A13" s="14"/>
      <c r="B13" s="14"/>
      <c r="C13" s="15" t="s">
        <v>14</v>
      </c>
      <c r="D13" s="16">
        <f>-MIN(0.15*1000+250+800,D12)</f>
        <v>-927.42</v>
      </c>
      <c r="E13" s="16">
        <f>-MIN(0.15*1000+250+800,E12)</f>
        <v>-927.42</v>
      </c>
      <c r="F13" s="16">
        <f>-MIN(0.15*1000+250+800,F12)</f>
        <v>-927.42</v>
      </c>
      <c r="G13" s="62"/>
      <c r="H13" s="15" t="s">
        <v>14</v>
      </c>
      <c r="I13" s="16">
        <f>-MIN(0.15*1000+250+800,I12)</f>
        <v>-927.42</v>
      </c>
      <c r="J13" s="16">
        <f>-MIN(0.15*1000+250+MIN(15%*6000,(502+(298*(30000-J10)/22909))),J12)</f>
        <v>-1177.1709808372257</v>
      </c>
      <c r="K13" s="16">
        <f>-MIN(0.15*1000+250+MIN(15%*6000,(502+(298*(30000-K10)/22909))),K12)</f>
        <v>-1177.1709808372257</v>
      </c>
      <c r="L13" s="62"/>
      <c r="M13" s="15" t="s">
        <v>14</v>
      </c>
      <c r="N13" s="16">
        <v>-1162.8699999999999</v>
      </c>
      <c r="O13" s="16">
        <f>-MIN(O12,0.15*1000+250+MIN(6000*0.15,(502+(298*(30000-O10)/22909))))</f>
        <v>-1163.5125933039417</v>
      </c>
      <c r="P13" s="16">
        <f>-MIN(P12,0.15*1000+250+(502+(298*(30000-P10)/22909)))</f>
        <v>-1163.5125933039417</v>
      </c>
      <c r="Q13" s="21">
        <f>+Q12*Q10</f>
        <v>24.76</v>
      </c>
      <c r="R13" s="18"/>
      <c r="S13" s="18"/>
      <c r="T13" s="96"/>
      <c r="Y13" s="20"/>
    </row>
    <row r="14" spans="1:25" s="19" customFormat="1" ht="15">
      <c r="A14" s="14" t="s">
        <v>9</v>
      </c>
      <c r="B14" s="14"/>
      <c r="C14" s="15" t="s">
        <v>15</v>
      </c>
      <c r="D14" s="16">
        <f>+(D12+D13)</f>
        <v>0</v>
      </c>
      <c r="E14" s="16">
        <f>+(E12+E13)</f>
        <v>0</v>
      </c>
      <c r="F14" s="16">
        <f>+(F12+F13)</f>
        <v>0</v>
      </c>
      <c r="G14" s="62"/>
      <c r="H14" s="15" t="s">
        <v>15</v>
      </c>
      <c r="I14" s="16">
        <f>+(I12+I13)</f>
        <v>0</v>
      </c>
      <c r="J14" s="16">
        <f>J12+J13</f>
        <v>351.19901916277399</v>
      </c>
      <c r="K14" s="16">
        <f>K12+K13</f>
        <v>351.19901916277399</v>
      </c>
      <c r="L14" s="62"/>
      <c r="M14" s="15" t="s">
        <v>15</v>
      </c>
      <c r="N14" s="16">
        <f>+N12+N13</f>
        <v>672.59000000000015</v>
      </c>
      <c r="O14" s="16">
        <f>+O12+O13</f>
        <v>664.10740669605798</v>
      </c>
      <c r="P14" s="16">
        <f>+P12+P13</f>
        <v>664.10740669605798</v>
      </c>
      <c r="Q14" s="21">
        <f>0.15*1000+MIN(0.15*6000,Q17)+250</f>
        <v>1162.8748965817549</v>
      </c>
      <c r="R14" s="21">
        <f>+Q14-N13</f>
        <v>2325.7448965817548</v>
      </c>
      <c r="S14" s="18"/>
      <c r="Y14" s="20"/>
    </row>
    <row r="15" spans="1:25" s="19" customFormat="1" ht="15">
      <c r="A15" s="14" t="s">
        <v>9</v>
      </c>
      <c r="B15" s="14"/>
      <c r="C15" s="15" t="s">
        <v>16</v>
      </c>
      <c r="D15" s="16">
        <v>0</v>
      </c>
      <c r="E15" s="16">
        <v>0</v>
      </c>
      <c r="F15" s="16">
        <v>0</v>
      </c>
      <c r="G15" s="62"/>
      <c r="H15" s="15" t="s">
        <v>16</v>
      </c>
      <c r="I15" s="16">
        <v>0</v>
      </c>
      <c r="J15" s="16">
        <v>0</v>
      </c>
      <c r="K15" s="16">
        <v>0</v>
      </c>
      <c r="L15" s="62"/>
      <c r="M15" s="15" t="s">
        <v>16</v>
      </c>
      <c r="N15" s="16">
        <v>24.76</v>
      </c>
      <c r="O15" s="16">
        <v>0</v>
      </c>
      <c r="P15" s="16">
        <v>0</v>
      </c>
      <c r="Q15" s="21"/>
      <c r="R15" s="18"/>
      <c r="S15" s="18"/>
      <c r="Y15" s="20"/>
    </row>
    <row r="16" spans="1:25" s="19" customFormat="1" ht="15">
      <c r="A16" s="14"/>
      <c r="B16" s="14"/>
      <c r="C16" s="15" t="s">
        <v>17</v>
      </c>
      <c r="D16" s="16">
        <f>+D14+D15</f>
        <v>0</v>
      </c>
      <c r="E16" s="16">
        <f>+E14+E15</f>
        <v>0</v>
      </c>
      <c r="F16" s="16">
        <f>+F14+F15</f>
        <v>0</v>
      </c>
      <c r="G16" s="62"/>
      <c r="H16" s="15" t="s">
        <v>17</v>
      </c>
      <c r="I16" s="16">
        <f>+I14+I15</f>
        <v>0</v>
      </c>
      <c r="J16" s="16">
        <f>J14+J15</f>
        <v>351.19901916277399</v>
      </c>
      <c r="K16" s="16">
        <f>K14+K15</f>
        <v>351.19901916277399</v>
      </c>
      <c r="L16" s="62"/>
      <c r="M16" s="15" t="s">
        <v>17</v>
      </c>
      <c r="N16" s="16">
        <f>+N15+N14</f>
        <v>697.35000000000014</v>
      </c>
      <c r="O16" s="16">
        <f>+O15+O14</f>
        <v>664.10740669605798</v>
      </c>
      <c r="P16" s="16">
        <f>+P15+P14</f>
        <v>664.10740669605798</v>
      </c>
      <c r="Q16" s="21"/>
      <c r="R16" s="18"/>
      <c r="S16" s="18"/>
      <c r="Y16" s="20"/>
    </row>
    <row r="17" spans="1:25" s="19" customFormat="1" ht="15">
      <c r="A17" s="14" t="s">
        <v>9</v>
      </c>
      <c r="B17" s="14"/>
      <c r="C17" s="15" t="s">
        <v>18</v>
      </c>
      <c r="D17" s="16">
        <f>0.11*D8</f>
        <v>1155</v>
      </c>
      <c r="E17" s="16">
        <f>0.11*E8</f>
        <v>1155</v>
      </c>
      <c r="F17" s="16">
        <f>0.11*F8</f>
        <v>1155</v>
      </c>
      <c r="G17" s="62"/>
      <c r="H17" s="15" t="s">
        <v>18</v>
      </c>
      <c r="I17" s="16">
        <f>0.11*I8</f>
        <v>1155</v>
      </c>
      <c r="J17" s="16">
        <f>0.11*J8</f>
        <v>1424.5</v>
      </c>
      <c r="K17" s="16">
        <f>0.11*K8</f>
        <v>1424.5</v>
      </c>
      <c r="L17" s="62"/>
      <c r="M17" s="15" t="s">
        <v>18</v>
      </c>
      <c r="N17" s="16">
        <f>0.11*N8</f>
        <v>1540</v>
      </c>
      <c r="O17" s="16">
        <f>0.11*O8</f>
        <v>1540</v>
      </c>
      <c r="P17" s="16">
        <f>0.11*P8</f>
        <v>1540</v>
      </c>
      <c r="Q17" s="21">
        <f>502+((800-502)*(30000-N10)/(30000-7035))</f>
        <v>762.87489658175491</v>
      </c>
      <c r="R17" s="18"/>
      <c r="S17" s="18"/>
      <c r="Y17" s="20"/>
    </row>
    <row r="18" spans="1:25" s="19" customFormat="1" ht="15">
      <c r="A18" s="23"/>
      <c r="B18" s="23"/>
      <c r="C18" s="15" t="s">
        <v>19</v>
      </c>
      <c r="D18" s="16">
        <f>+D8+D16-D17</f>
        <v>9345</v>
      </c>
      <c r="E18" s="16">
        <f>+E8-E16-E17</f>
        <v>9345</v>
      </c>
      <c r="F18" s="16">
        <f>+F8-F16-F17</f>
        <v>9345</v>
      </c>
      <c r="G18" s="62"/>
      <c r="H18" s="15" t="s">
        <v>19</v>
      </c>
      <c r="I18" s="16">
        <f>+I8+I16-I17</f>
        <v>9345</v>
      </c>
      <c r="J18" s="16">
        <f>+J8+J14-J17</f>
        <v>11876.699019162774</v>
      </c>
      <c r="K18" s="16">
        <f>+K8+K14-K17</f>
        <v>11876.699019162774</v>
      </c>
      <c r="L18" s="62"/>
      <c r="M18" s="15" t="s">
        <v>19</v>
      </c>
      <c r="N18" s="16">
        <f>+N8-N16-N17</f>
        <v>11762.65</v>
      </c>
      <c r="O18" s="16">
        <f>+O8-O16-O17-O15</f>
        <v>11795.892593303943</v>
      </c>
      <c r="P18" s="16">
        <f>+P8-P16-P17</f>
        <v>11795.892593303943</v>
      </c>
      <c r="Q18" s="24"/>
      <c r="R18" s="18"/>
      <c r="S18" s="18"/>
      <c r="Y18" s="20">
        <v>68787.100000000006</v>
      </c>
    </row>
    <row r="19" spans="1:25" s="19" customFormat="1" ht="15">
      <c r="A19" s="25"/>
      <c r="B19" s="25"/>
      <c r="C19" s="26"/>
      <c r="D19" s="27"/>
      <c r="E19" s="27"/>
      <c r="F19" s="27"/>
      <c r="G19" s="64"/>
      <c r="H19" s="26"/>
      <c r="I19" s="27"/>
      <c r="J19" s="27"/>
      <c r="K19" s="27"/>
      <c r="L19" s="64"/>
      <c r="M19" s="26"/>
      <c r="N19" s="27"/>
      <c r="O19" s="27"/>
      <c r="P19" s="27"/>
      <c r="Q19" s="28"/>
      <c r="R19" s="18"/>
      <c r="S19" s="18"/>
      <c r="Y19" s="20"/>
    </row>
    <row r="20" spans="1:25" s="19" customFormat="1" ht="15">
      <c r="A20" s="25"/>
      <c r="B20" s="25"/>
      <c r="C20" s="29" t="s">
        <v>20</v>
      </c>
      <c r="D20" s="30"/>
      <c r="E20" s="31"/>
      <c r="F20" s="31">
        <f>+F18-E18</f>
        <v>0</v>
      </c>
      <c r="G20" s="64"/>
      <c r="H20" s="29" t="s">
        <v>20</v>
      </c>
      <c r="I20" s="30"/>
      <c r="J20" s="31"/>
      <c r="K20" s="31">
        <f>+K18-J18</f>
        <v>0</v>
      </c>
      <c r="L20" s="64"/>
      <c r="M20" s="29" t="s">
        <v>20</v>
      </c>
      <c r="N20" s="30"/>
      <c r="O20" s="31"/>
      <c r="P20" s="31">
        <f>+P18-O18</f>
        <v>0</v>
      </c>
      <c r="Q20" s="28"/>
      <c r="R20" s="18"/>
      <c r="S20" s="18"/>
      <c r="Y20" s="20"/>
    </row>
    <row r="21" spans="1:25">
      <c r="A21" s="10"/>
      <c r="B21" s="10"/>
      <c r="C21" s="29"/>
      <c r="D21" s="32"/>
      <c r="E21" s="33"/>
      <c r="F21" s="33"/>
      <c r="G21" s="64"/>
      <c r="H21" s="29"/>
      <c r="I21" s="32"/>
      <c r="J21" s="33"/>
      <c r="K21" s="33"/>
      <c r="L21" s="64"/>
      <c r="M21" s="29"/>
      <c r="N21" s="32"/>
      <c r="O21" s="33"/>
      <c r="P21" s="33"/>
      <c r="Q21" s="13"/>
    </row>
    <row r="22" spans="1:25">
      <c r="A22" s="10"/>
      <c r="B22" s="10"/>
      <c r="C22" s="11" t="s">
        <v>21</v>
      </c>
      <c r="D22" s="12">
        <v>2016</v>
      </c>
      <c r="E22" s="12">
        <v>2017</v>
      </c>
      <c r="F22" s="12">
        <v>2018</v>
      </c>
      <c r="G22" s="65"/>
      <c r="H22" s="11" t="s">
        <v>22</v>
      </c>
      <c r="I22" s="12">
        <v>2016</v>
      </c>
      <c r="J22" s="12">
        <v>2017</v>
      </c>
      <c r="K22" s="12">
        <v>2018</v>
      </c>
      <c r="L22" s="65"/>
      <c r="M22" s="11" t="s">
        <v>23</v>
      </c>
      <c r="N22" s="12">
        <v>2016</v>
      </c>
      <c r="O22" s="12">
        <v>2017</v>
      </c>
      <c r="P22" s="12">
        <v>2018</v>
      </c>
      <c r="Q22" s="13"/>
    </row>
    <row r="23" spans="1:25" s="19" customFormat="1" ht="15">
      <c r="A23" s="14" t="s">
        <v>7</v>
      </c>
      <c r="B23" s="14"/>
      <c r="C23" s="15" t="s">
        <v>8</v>
      </c>
      <c r="D23" s="16">
        <f>+D8</f>
        <v>10500</v>
      </c>
      <c r="E23" s="16">
        <f>+E8</f>
        <v>10500</v>
      </c>
      <c r="F23" s="16">
        <f>+F8</f>
        <v>10500</v>
      </c>
      <c r="G23" s="62"/>
      <c r="H23" s="15" t="s">
        <v>8</v>
      </c>
      <c r="I23" s="16">
        <f>+I8</f>
        <v>10500</v>
      </c>
      <c r="J23" s="16">
        <f>925*14</f>
        <v>12950</v>
      </c>
      <c r="K23" s="16">
        <f>925*14</f>
        <v>12950</v>
      </c>
      <c r="L23" s="62"/>
      <c r="M23" s="15" t="s">
        <v>8</v>
      </c>
      <c r="N23" s="16">
        <f>+N8</f>
        <v>14000</v>
      </c>
      <c r="O23" s="16">
        <f>+O8</f>
        <v>14000</v>
      </c>
      <c r="P23" s="16"/>
      <c r="Q23" s="17"/>
      <c r="R23" s="18"/>
      <c r="S23" s="18"/>
      <c r="Y23" s="20"/>
    </row>
    <row r="24" spans="1:25" s="19" customFormat="1" ht="15">
      <c r="A24" s="14" t="s">
        <v>9</v>
      </c>
      <c r="B24" s="14"/>
      <c r="C24" s="15" t="s">
        <v>10</v>
      </c>
      <c r="D24" s="16">
        <v>-4104</v>
      </c>
      <c r="E24" s="16">
        <v>-4104</v>
      </c>
      <c r="F24" s="16">
        <v>-4104</v>
      </c>
      <c r="G24" s="62"/>
      <c r="H24" s="15" t="s">
        <v>10</v>
      </c>
      <c r="I24" s="16">
        <v>-4104</v>
      </c>
      <c r="J24" s="16">
        <f>-MAX(4104,J23*11%)</f>
        <v>-4104</v>
      </c>
      <c r="K24" s="16">
        <f>-MAX(4104,K23*11%)</f>
        <v>-4104</v>
      </c>
      <c r="L24" s="62"/>
      <c r="M24" s="15" t="s">
        <v>10</v>
      </c>
      <c r="N24" s="16">
        <f>+N9</f>
        <v>-4104</v>
      </c>
      <c r="O24" s="16">
        <f>-MAX(4104,O8*0.11)</f>
        <v>-4104</v>
      </c>
      <c r="P24" s="16"/>
      <c r="Q24" s="17"/>
      <c r="R24" s="18"/>
      <c r="S24" s="18"/>
      <c r="Y24" s="20"/>
    </row>
    <row r="25" spans="1:25" s="19" customFormat="1" ht="15">
      <c r="A25" s="14"/>
      <c r="B25" s="14"/>
      <c r="C25" s="15" t="s">
        <v>11</v>
      </c>
      <c r="D25" s="16">
        <f>+D23+D24</f>
        <v>6396</v>
      </c>
      <c r="E25" s="16">
        <f>+E23+E24</f>
        <v>6396</v>
      </c>
      <c r="F25" s="16">
        <f>+F23+F24</f>
        <v>6396</v>
      </c>
      <c r="G25" s="62"/>
      <c r="H25" s="15" t="s">
        <v>11</v>
      </c>
      <c r="I25" s="16">
        <f>+I23+I24</f>
        <v>6396</v>
      </c>
      <c r="J25" s="16">
        <f>J23+J24</f>
        <v>8846</v>
      </c>
      <c r="K25" s="16">
        <f>K23+K24</f>
        <v>8846</v>
      </c>
      <c r="L25" s="62"/>
      <c r="M25" s="15" t="s">
        <v>11</v>
      </c>
      <c r="N25" s="16">
        <f>+N23+N24</f>
        <v>9896</v>
      </c>
      <c r="O25" s="16">
        <f>SUM(O23:O24)</f>
        <v>9896</v>
      </c>
      <c r="P25" s="16"/>
      <c r="Q25" s="17"/>
      <c r="R25" s="18"/>
      <c r="S25" s="18"/>
      <c r="Y25" s="20"/>
    </row>
    <row r="26" spans="1:25" s="19" customFormat="1" ht="15" hidden="1">
      <c r="A26" s="14"/>
      <c r="B26" s="14"/>
      <c r="C26" s="15" t="s">
        <v>12</v>
      </c>
      <c r="D26" s="22"/>
      <c r="E26" s="22"/>
      <c r="F26" s="22"/>
      <c r="G26" s="63"/>
      <c r="H26" s="15" t="s">
        <v>12</v>
      </c>
      <c r="I26" s="22"/>
      <c r="J26" s="22"/>
      <c r="K26" s="22"/>
      <c r="L26" s="63"/>
      <c r="M26" s="15" t="s">
        <v>12</v>
      </c>
      <c r="N26" s="22"/>
      <c r="O26" s="22"/>
      <c r="P26" s="22"/>
      <c r="Q26" s="17"/>
      <c r="R26" s="18"/>
      <c r="S26" s="18"/>
      <c r="Y26" s="20"/>
    </row>
    <row r="27" spans="1:25" s="19" customFormat="1" ht="15">
      <c r="A27" s="14" t="s">
        <v>9</v>
      </c>
      <c r="B27" s="14"/>
      <c r="C27" s="15" t="s">
        <v>13</v>
      </c>
      <c r="D27" s="16">
        <f>+(D25*0.145)</f>
        <v>927.42</v>
      </c>
      <c r="E27" s="16">
        <f>+(E25*0.145)</f>
        <v>927.42</v>
      </c>
      <c r="F27" s="16">
        <f>+(F25*0.145)</f>
        <v>927.42</v>
      </c>
      <c r="G27" s="62"/>
      <c r="H27" s="15" t="s">
        <v>13</v>
      </c>
      <c r="I27" s="16">
        <f>+(I25*0.145)</f>
        <v>927.42</v>
      </c>
      <c r="J27" s="16">
        <f>(J25*28.5%)-992.74</f>
        <v>1528.3699999999997</v>
      </c>
      <c r="K27" s="16">
        <f>(K25*28.5%)-992.74</f>
        <v>1528.3699999999997</v>
      </c>
      <c r="L27" s="62"/>
      <c r="M27" s="15" t="s">
        <v>13</v>
      </c>
      <c r="N27" s="16">
        <f>1835.46</f>
        <v>1835.46</v>
      </c>
      <c r="O27" s="16">
        <f>(0.285*O25)-992.74</f>
        <v>1827.6199999999997</v>
      </c>
      <c r="P27" s="16"/>
      <c r="Q27" s="17"/>
      <c r="R27" s="18"/>
      <c r="S27" s="18"/>
      <c r="Y27" s="20"/>
    </row>
    <row r="28" spans="1:25" s="19" customFormat="1" ht="15">
      <c r="A28" s="14"/>
      <c r="B28" s="14"/>
      <c r="C28" s="15" t="s">
        <v>14</v>
      </c>
      <c r="D28" s="16">
        <f>-(MIN(600+MIN(0.3*1100,800)+335+0.15*1000+MIN(0.3*6000,800),D27))</f>
        <v>-927.42</v>
      </c>
      <c r="E28" s="16">
        <f>-(MIN(600+MIN(0.3*1100,800)+335+0.15*1000+MIN(0.15*6000,800),E27))</f>
        <v>-927.42</v>
      </c>
      <c r="F28" s="16">
        <f>-(MIN(600+MIN(0.3*1100,800)+335+0.15*1000+MIN(0.15*6000,800),F27))</f>
        <v>-927.42</v>
      </c>
      <c r="G28" s="62"/>
      <c r="H28" s="15" t="s">
        <v>14</v>
      </c>
      <c r="I28" s="16">
        <f>-(MIN(600+MIN(0.3*1100,800)+335+0.15*1000+MIN(0.3*6000,800),I27))</f>
        <v>-927.42</v>
      </c>
      <c r="J28" s="16">
        <f>-(MIN(600+MIN(0.3*1100,800)+335+0.15*1000+MIN(0.15*6000,(502+(298*(30000-J25)/22909))),J27))</f>
        <v>-1528.3699999999997</v>
      </c>
      <c r="K28" s="16">
        <f>-(MIN(600+MIN(0.3*1100,800)+335+0.15*1000+MIN(0.15*6000,(502+(298*(30000-K25)/22909))),K27))</f>
        <v>-1528.3699999999997</v>
      </c>
      <c r="L28" s="62"/>
      <c r="M28" s="15" t="s">
        <v>14</v>
      </c>
      <c r="N28" s="16">
        <v>-1835.46</v>
      </c>
      <c r="O28" s="16">
        <f>-MIN(O12,600+MIN(0.3*1100,800)+0.15*1000+335+MIN(6000*0.15,(502+(298*(30000-O10)/22909))))</f>
        <v>-1827.6199999999997</v>
      </c>
      <c r="P28" s="16"/>
      <c r="Q28" s="17"/>
      <c r="R28" s="18"/>
      <c r="S28" s="18"/>
      <c r="Y28" s="20"/>
    </row>
    <row r="29" spans="1:25" s="19" customFormat="1" ht="15">
      <c r="A29" s="14" t="s">
        <v>9</v>
      </c>
      <c r="B29" s="14"/>
      <c r="C29" s="15" t="s">
        <v>15</v>
      </c>
      <c r="D29" s="16">
        <f>+D27+D28</f>
        <v>0</v>
      </c>
      <c r="E29" s="16">
        <f>+E27+E28</f>
        <v>0</v>
      </c>
      <c r="F29" s="16">
        <f>+F27+F28</f>
        <v>0</v>
      </c>
      <c r="G29" s="62"/>
      <c r="H29" s="15" t="s">
        <v>15</v>
      </c>
      <c r="I29" s="16">
        <f>+I27+I28</f>
        <v>0</v>
      </c>
      <c r="J29" s="16">
        <f>J27+J28</f>
        <v>0</v>
      </c>
      <c r="K29" s="16">
        <f>K27+K28</f>
        <v>0</v>
      </c>
      <c r="L29" s="62"/>
      <c r="M29" s="15" t="s">
        <v>15</v>
      </c>
      <c r="N29" s="16">
        <f>+N27+N28</f>
        <v>0</v>
      </c>
      <c r="O29" s="16">
        <f>+O27+O28</f>
        <v>0</v>
      </c>
      <c r="P29" s="16"/>
      <c r="Q29" s="17"/>
      <c r="R29" s="18"/>
      <c r="S29" s="18"/>
      <c r="Y29" s="20"/>
    </row>
    <row r="30" spans="1:25" s="19" customFormat="1" ht="15">
      <c r="A30" s="14" t="s">
        <v>9</v>
      </c>
      <c r="B30" s="14"/>
      <c r="C30" s="15" t="s">
        <v>16</v>
      </c>
      <c r="D30" s="16">
        <v>0</v>
      </c>
      <c r="E30" s="16">
        <v>0</v>
      </c>
      <c r="F30" s="16">
        <v>0</v>
      </c>
      <c r="G30" s="62"/>
      <c r="H30" s="15" t="s">
        <v>16</v>
      </c>
      <c r="I30" s="16">
        <v>0</v>
      </c>
      <c r="J30" s="16">
        <v>0</v>
      </c>
      <c r="K30" s="16">
        <v>0</v>
      </c>
      <c r="L30" s="62"/>
      <c r="M30" s="15" t="s">
        <v>16</v>
      </c>
      <c r="N30" s="16">
        <v>11.51</v>
      </c>
      <c r="O30" s="16">
        <v>0</v>
      </c>
      <c r="P30" s="16"/>
      <c r="Q30" s="17"/>
      <c r="R30" s="18"/>
      <c r="S30" s="18"/>
      <c r="Y30" s="20"/>
    </row>
    <row r="31" spans="1:25" s="19" customFormat="1" ht="15">
      <c r="A31" s="14"/>
      <c r="B31" s="14"/>
      <c r="C31" s="15" t="s">
        <v>17</v>
      </c>
      <c r="D31" s="16">
        <f>+D29+D30</f>
        <v>0</v>
      </c>
      <c r="E31" s="16">
        <f>+E29+E30</f>
        <v>0</v>
      </c>
      <c r="F31" s="16">
        <f>+F29+F30</f>
        <v>0</v>
      </c>
      <c r="G31" s="62"/>
      <c r="H31" s="15" t="s">
        <v>17</v>
      </c>
      <c r="I31" s="16">
        <f>+I29+I30</f>
        <v>0</v>
      </c>
      <c r="J31" s="16">
        <f>J29+J30</f>
        <v>0</v>
      </c>
      <c r="K31" s="16">
        <f>K29+K30</f>
        <v>0</v>
      </c>
      <c r="L31" s="62"/>
      <c r="M31" s="15" t="s">
        <v>17</v>
      </c>
      <c r="N31" s="16">
        <f>+N29+N30</f>
        <v>11.51</v>
      </c>
      <c r="O31" s="16">
        <f>+O29+O30</f>
        <v>0</v>
      </c>
      <c r="P31" s="16"/>
      <c r="Q31" s="17"/>
      <c r="R31" s="18"/>
      <c r="S31" s="18"/>
      <c r="Y31" s="20"/>
    </row>
    <row r="32" spans="1:25" s="19" customFormat="1" ht="15">
      <c r="A32" s="14" t="s">
        <v>9</v>
      </c>
      <c r="B32" s="14"/>
      <c r="C32" s="15" t="s">
        <v>18</v>
      </c>
      <c r="D32" s="16">
        <f>+D17</f>
        <v>1155</v>
      </c>
      <c r="E32" s="16">
        <f>E23*11%</f>
        <v>1155</v>
      </c>
      <c r="F32" s="16">
        <f>F23*11%</f>
        <v>1155</v>
      </c>
      <c r="G32" s="62"/>
      <c r="H32" s="15" t="s">
        <v>18</v>
      </c>
      <c r="I32" s="16">
        <f>+I17</f>
        <v>1155</v>
      </c>
      <c r="J32" s="16">
        <f>J23*0.11</f>
        <v>1424.5</v>
      </c>
      <c r="K32" s="16">
        <f>K23*0.11</f>
        <v>1424.5</v>
      </c>
      <c r="L32" s="62"/>
      <c r="M32" s="15" t="s">
        <v>18</v>
      </c>
      <c r="N32" s="16">
        <f>+N17</f>
        <v>1540</v>
      </c>
      <c r="O32" s="16">
        <f>0.11*O23</f>
        <v>1540</v>
      </c>
      <c r="P32" s="16"/>
      <c r="Q32" s="17"/>
      <c r="R32" s="18"/>
      <c r="S32" s="18"/>
      <c r="Y32" s="20"/>
    </row>
    <row r="33" spans="1:25" s="19" customFormat="1" ht="15">
      <c r="A33" s="23"/>
      <c r="B33" s="23"/>
      <c r="C33" s="15" t="s">
        <v>19</v>
      </c>
      <c r="D33" s="16">
        <f>+D23-D31-D32</f>
        <v>9345</v>
      </c>
      <c r="E33" s="16">
        <f>+E23-E31-E32</f>
        <v>9345</v>
      </c>
      <c r="F33" s="16">
        <f>+F23-F31-F32</f>
        <v>9345</v>
      </c>
      <c r="G33" s="62"/>
      <c r="H33" s="15" t="s">
        <v>19</v>
      </c>
      <c r="I33" s="16">
        <f>+I23-I31-I32</f>
        <v>9345</v>
      </c>
      <c r="J33" s="16">
        <f>J23-J29-J32</f>
        <v>11525.5</v>
      </c>
      <c r="K33" s="16">
        <f>K23-K29-K32</f>
        <v>11525.5</v>
      </c>
      <c r="L33" s="62"/>
      <c r="M33" s="15" t="s">
        <v>19</v>
      </c>
      <c r="N33" s="16">
        <f>+N23-N31-N32</f>
        <v>12448.49</v>
      </c>
      <c r="O33" s="16">
        <f>+O23-O31-O32</f>
        <v>12460</v>
      </c>
      <c r="P33" s="16"/>
      <c r="Q33" s="34"/>
      <c r="R33" s="18"/>
      <c r="S33" s="18"/>
      <c r="Y33" s="20"/>
    </row>
    <row r="34" spans="1:25" s="19" customFormat="1" ht="15">
      <c r="A34" s="25"/>
      <c r="B34" s="25"/>
      <c r="C34" s="26"/>
      <c r="D34" s="27"/>
      <c r="E34" s="27"/>
      <c r="F34" s="27"/>
      <c r="G34" s="64"/>
      <c r="H34" s="26"/>
      <c r="I34" s="27"/>
      <c r="J34" s="27"/>
      <c r="K34" s="27"/>
      <c r="L34" s="64"/>
      <c r="M34" s="26"/>
      <c r="N34" s="27"/>
      <c r="O34" s="27"/>
      <c r="P34" s="27"/>
      <c r="Q34" s="28"/>
      <c r="R34" s="18"/>
      <c r="S34" s="18"/>
      <c r="Y34" s="20"/>
    </row>
    <row r="35" spans="1:25" s="19" customFormat="1" ht="15">
      <c r="A35" s="25"/>
      <c r="B35" s="25"/>
      <c r="C35" s="29" t="s">
        <v>20</v>
      </c>
      <c r="D35" s="30"/>
      <c r="E35" s="31"/>
      <c r="F35" s="31">
        <f>+F33-E33</f>
        <v>0</v>
      </c>
      <c r="G35" s="64"/>
      <c r="H35" s="58" t="s">
        <v>20</v>
      </c>
      <c r="I35" s="30"/>
      <c r="J35" s="31"/>
      <c r="K35" s="31">
        <f>+K33-J33</f>
        <v>0</v>
      </c>
      <c r="L35" s="64"/>
      <c r="M35" s="35" t="s">
        <v>20</v>
      </c>
      <c r="N35" s="31"/>
      <c r="O35" s="31"/>
      <c r="P35" s="31">
        <f>+P33-O33</f>
        <v>-12460</v>
      </c>
      <c r="Q35" s="28"/>
      <c r="R35" s="18"/>
      <c r="S35" s="18"/>
      <c r="Y35" s="20"/>
    </row>
    <row r="36" spans="1:25" s="19" customFormat="1" ht="15">
      <c r="A36" s="25"/>
      <c r="B36" s="25"/>
      <c r="C36" s="36"/>
      <c r="D36" s="37"/>
      <c r="E36" s="37"/>
      <c r="F36" s="37"/>
      <c r="G36" s="64"/>
      <c r="H36" s="36"/>
      <c r="I36" s="37"/>
      <c r="J36" s="37"/>
      <c r="K36" s="37"/>
      <c r="L36" s="64"/>
      <c r="M36" s="36"/>
      <c r="N36" s="37"/>
      <c r="O36" s="37"/>
      <c r="P36" s="37"/>
      <c r="Q36" s="28"/>
      <c r="R36" s="18"/>
      <c r="S36" s="18"/>
      <c r="Y36" s="20"/>
    </row>
    <row r="37" spans="1:25" s="19" customFormat="1" ht="15">
      <c r="A37" s="25"/>
      <c r="B37" s="25"/>
      <c r="C37" s="11" t="s">
        <v>24</v>
      </c>
      <c r="D37" s="12">
        <v>2016</v>
      </c>
      <c r="E37" s="12">
        <v>2017</v>
      </c>
      <c r="F37" s="12">
        <v>2018</v>
      </c>
      <c r="G37" s="65"/>
      <c r="H37" s="11" t="s">
        <v>25</v>
      </c>
      <c r="I37" s="12">
        <v>2016</v>
      </c>
      <c r="J37" s="12">
        <v>2017</v>
      </c>
      <c r="K37" s="12">
        <v>2018</v>
      </c>
      <c r="L37" s="65"/>
      <c r="M37" s="11" t="s">
        <v>26</v>
      </c>
      <c r="N37" s="12">
        <v>2016</v>
      </c>
      <c r="O37" s="12">
        <v>2017</v>
      </c>
      <c r="P37" s="12">
        <v>2018</v>
      </c>
      <c r="Q37" s="28"/>
      <c r="R37" s="18"/>
      <c r="S37" s="18"/>
      <c r="Y37" s="20"/>
    </row>
    <row r="38" spans="1:25" s="19" customFormat="1" ht="15">
      <c r="A38" s="25"/>
      <c r="B38" s="25"/>
      <c r="C38" s="15" t="s">
        <v>8</v>
      </c>
      <c r="D38" s="16">
        <f>+D23</f>
        <v>10500</v>
      </c>
      <c r="E38" s="16">
        <f>+E23</f>
        <v>10500</v>
      </c>
      <c r="F38" s="16">
        <f>+F23</f>
        <v>10500</v>
      </c>
      <c r="G38" s="62"/>
      <c r="H38" s="15" t="s">
        <v>8</v>
      </c>
      <c r="I38" s="16">
        <f>+I23</f>
        <v>10500</v>
      </c>
      <c r="J38" s="16">
        <f>925*14</f>
        <v>12950</v>
      </c>
      <c r="K38" s="16">
        <f>925*14</f>
        <v>12950</v>
      </c>
      <c r="L38" s="62"/>
      <c r="M38" s="15" t="s">
        <v>8</v>
      </c>
      <c r="N38" s="16">
        <f>+N23</f>
        <v>14000</v>
      </c>
      <c r="O38" s="16">
        <f>+O23</f>
        <v>14000</v>
      </c>
      <c r="P38" s="16"/>
      <c r="Q38" s="28">
        <f>+N40*0.285-984.9</f>
        <v>1835.4599999999996</v>
      </c>
      <c r="R38" s="18"/>
      <c r="S38" s="18"/>
      <c r="Y38" s="20"/>
    </row>
    <row r="39" spans="1:25" s="19" customFormat="1" ht="15">
      <c r="A39" s="25"/>
      <c r="B39" s="25"/>
      <c r="C39" s="15" t="s">
        <v>10</v>
      </c>
      <c r="D39" s="16">
        <f>+D24</f>
        <v>-4104</v>
      </c>
      <c r="E39" s="16">
        <f>-MAX(4104,E38*11%)</f>
        <v>-4104</v>
      </c>
      <c r="F39" s="16">
        <f>-MAX(4104,F38*11%)</f>
        <v>-4104</v>
      </c>
      <c r="G39" s="62"/>
      <c r="H39" s="15" t="s">
        <v>10</v>
      </c>
      <c r="I39" s="16">
        <f>+I24</f>
        <v>-4104</v>
      </c>
      <c r="J39" s="16">
        <f>-MAX(4104,J38*11%)</f>
        <v>-4104</v>
      </c>
      <c r="K39" s="16">
        <f>-MAX(4104,K38*11%)</f>
        <v>-4104</v>
      </c>
      <c r="L39" s="62"/>
      <c r="M39" s="15" t="s">
        <v>10</v>
      </c>
      <c r="N39" s="16">
        <f>+N24</f>
        <v>-4104</v>
      </c>
      <c r="O39" s="16">
        <f>-MAX(4104,O23*0.11)</f>
        <v>-4104</v>
      </c>
      <c r="P39" s="16"/>
      <c r="Q39" s="28">
        <f>+Q13-(530*2.5%*2)</f>
        <v>-1.7399999999999984</v>
      </c>
      <c r="R39" s="18"/>
      <c r="S39" s="18"/>
      <c r="Y39" s="20"/>
    </row>
    <row r="40" spans="1:25" s="19" customFormat="1" ht="15">
      <c r="A40" s="25"/>
      <c r="B40" s="25"/>
      <c r="C40" s="15" t="s">
        <v>11</v>
      </c>
      <c r="D40" s="16">
        <f>+D38+D39</f>
        <v>6396</v>
      </c>
      <c r="E40" s="16">
        <f>+E38+E39</f>
        <v>6396</v>
      </c>
      <c r="F40" s="16">
        <f>+F38+F39</f>
        <v>6396</v>
      </c>
      <c r="G40" s="62"/>
      <c r="H40" s="15" t="s">
        <v>11</v>
      </c>
      <c r="I40" s="16">
        <f>+I38+I39</f>
        <v>6396</v>
      </c>
      <c r="J40" s="16">
        <f>J38+J39</f>
        <v>8846</v>
      </c>
      <c r="K40" s="16">
        <f>K38+K39</f>
        <v>8846</v>
      </c>
      <c r="L40" s="62"/>
      <c r="M40" s="15" t="s">
        <v>11</v>
      </c>
      <c r="N40" s="16">
        <f>+N38+N39</f>
        <v>9896</v>
      </c>
      <c r="O40" s="16">
        <f>SUM(O38:O39)</f>
        <v>9896</v>
      </c>
      <c r="P40" s="16"/>
      <c r="Q40" s="28"/>
      <c r="R40" s="18"/>
      <c r="S40" s="18"/>
      <c r="Y40" s="20"/>
    </row>
    <row r="41" spans="1:25" s="19" customFormat="1" ht="15">
      <c r="A41" s="25"/>
      <c r="B41" s="25"/>
      <c r="C41" s="15" t="s">
        <v>13</v>
      </c>
      <c r="D41" s="16">
        <f>0.145*D40</f>
        <v>927.42</v>
      </c>
      <c r="E41" s="16">
        <f>0.145*E40</f>
        <v>927.42</v>
      </c>
      <c r="F41" s="16">
        <f>0.145*F40</f>
        <v>927.42</v>
      </c>
      <c r="G41" s="63"/>
      <c r="H41" s="15" t="s">
        <v>13</v>
      </c>
      <c r="I41" s="16">
        <f>0.145*I40</f>
        <v>927.42</v>
      </c>
      <c r="J41" s="16">
        <f>(J38*28.5%)-992.74</f>
        <v>2698.0099999999993</v>
      </c>
      <c r="K41" s="16">
        <f>(K39*28.5%)-992.74</f>
        <v>-2162.38</v>
      </c>
      <c r="L41" s="63"/>
      <c r="M41" s="15" t="s">
        <v>13</v>
      </c>
      <c r="N41" s="16">
        <v>1835.46</v>
      </c>
      <c r="O41" s="16">
        <f>(0.285*O40)-992.74</f>
        <v>1827.6199999999997</v>
      </c>
      <c r="P41" s="16"/>
      <c r="Q41" s="38">
        <f>0.15*1000+MIN(0.15*6000,Q17)+MIN(0.3*2200,800)+335+600*2</f>
        <v>3107.8748965817549</v>
      </c>
      <c r="R41" s="18"/>
      <c r="S41" s="18"/>
      <c r="Y41" s="20"/>
    </row>
    <row r="42" spans="1:25" s="19" customFormat="1" ht="15">
      <c r="A42" s="25"/>
      <c r="B42" s="25"/>
      <c r="C42" s="15" t="s">
        <v>14</v>
      </c>
      <c r="D42" s="16">
        <f>-(MIN(600*2+MIN(0.3*1100*2,800)+335+0.15*1000+MIN(0.3*6000,800),D41))</f>
        <v>-927.42</v>
      </c>
      <c r="E42" s="16">
        <f>-(MIN(600*2+MIN(0.3*1100*2,80)+335+0.15*1000+MIN(0.15*6000,800),E41))</f>
        <v>-927.42</v>
      </c>
      <c r="F42" s="16">
        <f>-(MIN(600*2+MIN(0.3*1100*2,80)+335+0.15*1000+MIN(0.15*6000,800),F41))</f>
        <v>-927.42</v>
      </c>
      <c r="G42" s="62"/>
      <c r="H42" s="15" t="s">
        <v>14</v>
      </c>
      <c r="I42" s="16">
        <f>-(MIN(600*2+MIN(0.3*1100*2,800)+335+0.15*1000+MIN(0.3*6000,800),I41))</f>
        <v>-927.42</v>
      </c>
      <c r="J42" s="16">
        <f>-(MIN(1200+MIN(0.3*2200,800)+335+0.15*1000+MIN(0.15*6000,(502+(298*(30000-J40)/22909))),J41))</f>
        <v>-2698.0099999999993</v>
      </c>
      <c r="K42" s="16">
        <f>-(MIN(1200+MIN(0.3*2200,800)+335+0.15*1000+MIN(0.15*6000,(502+(298*(30000-K40)/22909))),K41))</f>
        <v>2162.38</v>
      </c>
      <c r="L42" s="62"/>
      <c r="M42" s="15" t="s">
        <v>14</v>
      </c>
      <c r="N42" s="16">
        <f>-N41</f>
        <v>-1835.46</v>
      </c>
      <c r="O42" s="16">
        <f>-MIN(O12,600*2+2*MIN(0.3*1100,800)+0.15*1000+335+MIN(6000*0.15,(502+(298*(30000-O10)/22909))))</f>
        <v>-1827.6199999999997</v>
      </c>
      <c r="P42" s="16"/>
      <c r="Q42" s="28"/>
      <c r="R42" s="18"/>
      <c r="S42" s="18"/>
      <c r="Y42" s="20"/>
    </row>
    <row r="43" spans="1:25" s="19" customFormat="1" ht="15">
      <c r="A43" s="25"/>
      <c r="B43" s="25"/>
      <c r="C43" s="15" t="s">
        <v>15</v>
      </c>
      <c r="D43" s="16">
        <f>+D41+D42</f>
        <v>0</v>
      </c>
      <c r="E43" s="16">
        <f>+E41+E42</f>
        <v>0</v>
      </c>
      <c r="F43" s="16">
        <f>+F41+F42</f>
        <v>0</v>
      </c>
      <c r="G43" s="62"/>
      <c r="H43" s="15" t="s">
        <v>15</v>
      </c>
      <c r="I43" s="16">
        <f>+I41+I42</f>
        <v>0</v>
      </c>
      <c r="J43" s="16">
        <f>J41+J42</f>
        <v>0</v>
      </c>
      <c r="K43" s="16">
        <f>K41+K42</f>
        <v>0</v>
      </c>
      <c r="L43" s="62"/>
      <c r="M43" s="15" t="s">
        <v>15</v>
      </c>
      <c r="N43" s="16">
        <f>+N41+N42</f>
        <v>0</v>
      </c>
      <c r="O43" s="16">
        <f>+O41+O42</f>
        <v>0</v>
      </c>
      <c r="P43" s="16"/>
      <c r="Q43" s="28"/>
      <c r="R43" s="18"/>
      <c r="S43" s="18"/>
      <c r="Y43" s="20"/>
    </row>
    <row r="44" spans="1:25" s="19" customFormat="1" ht="15">
      <c r="A44" s="25"/>
      <c r="B44" s="25"/>
      <c r="C44" s="15" t="s">
        <v>16</v>
      </c>
      <c r="D44" s="16">
        <v>0</v>
      </c>
      <c r="E44" s="16">
        <v>0</v>
      </c>
      <c r="F44" s="16">
        <v>0</v>
      </c>
      <c r="G44" s="62"/>
      <c r="H44" s="15" t="s">
        <v>16</v>
      </c>
      <c r="I44" s="16">
        <v>0</v>
      </c>
      <c r="J44" s="16">
        <v>0</v>
      </c>
      <c r="K44" s="16">
        <v>0</v>
      </c>
      <c r="L44" s="62"/>
      <c r="M44" s="15" t="s">
        <v>16</v>
      </c>
      <c r="N44" s="16">
        <v>0</v>
      </c>
      <c r="O44" s="16">
        <v>0</v>
      </c>
      <c r="P44" s="16"/>
      <c r="Q44" s="28"/>
      <c r="R44" s="18"/>
      <c r="S44" s="18"/>
      <c r="Y44" s="20"/>
    </row>
    <row r="45" spans="1:25" s="19" customFormat="1" ht="15">
      <c r="A45" s="25"/>
      <c r="B45" s="25"/>
      <c r="C45" s="15" t="s">
        <v>17</v>
      </c>
      <c r="D45" s="16">
        <f>+D43+D44</f>
        <v>0</v>
      </c>
      <c r="E45" s="16">
        <f>+E43+E44</f>
        <v>0</v>
      </c>
      <c r="F45" s="16">
        <f>+F43+F44</f>
        <v>0</v>
      </c>
      <c r="G45" s="62"/>
      <c r="H45" s="15" t="s">
        <v>17</v>
      </c>
      <c r="I45" s="16">
        <f>+I43+I44</f>
        <v>0</v>
      </c>
      <c r="J45" s="16">
        <f>J43+J44</f>
        <v>0</v>
      </c>
      <c r="K45" s="16">
        <f>K43+K44</f>
        <v>0</v>
      </c>
      <c r="L45" s="62"/>
      <c r="M45" s="15" t="s">
        <v>17</v>
      </c>
      <c r="N45" s="16">
        <f>+N43+N44</f>
        <v>0</v>
      </c>
      <c r="O45" s="16">
        <f>+O43+O44</f>
        <v>0</v>
      </c>
      <c r="P45" s="16"/>
      <c r="Q45" s="28"/>
      <c r="R45" s="18"/>
      <c r="S45" s="18"/>
      <c r="Y45" s="20"/>
    </row>
    <row r="46" spans="1:25" s="19" customFormat="1" ht="15">
      <c r="A46" s="25"/>
      <c r="B46" s="25"/>
      <c r="C46" s="15" t="s">
        <v>18</v>
      </c>
      <c r="D46" s="16">
        <f>+D32</f>
        <v>1155</v>
      </c>
      <c r="E46" s="16">
        <f>+E32</f>
        <v>1155</v>
      </c>
      <c r="F46" s="16">
        <f>+F32</f>
        <v>1155</v>
      </c>
      <c r="G46" s="62"/>
      <c r="H46" s="15" t="s">
        <v>18</v>
      </c>
      <c r="I46" s="16">
        <f>+I32</f>
        <v>1155</v>
      </c>
      <c r="J46" s="16">
        <f>J38*0.11</f>
        <v>1424.5</v>
      </c>
      <c r="K46" s="16">
        <f>K38*0.11</f>
        <v>1424.5</v>
      </c>
      <c r="L46" s="62"/>
      <c r="M46" s="15" t="s">
        <v>18</v>
      </c>
      <c r="N46" s="16">
        <f>+N32</f>
        <v>1540</v>
      </c>
      <c r="O46" s="16">
        <f>0.11*O38</f>
        <v>1540</v>
      </c>
      <c r="P46" s="16"/>
      <c r="Q46" s="28"/>
      <c r="R46" s="18"/>
      <c r="S46" s="18"/>
      <c r="Y46" s="20"/>
    </row>
    <row r="47" spans="1:25" s="19" customFormat="1" ht="15">
      <c r="A47" s="25"/>
      <c r="B47" s="25"/>
      <c r="C47" s="15" t="s">
        <v>19</v>
      </c>
      <c r="D47" s="16">
        <f>+D38-D45-D46</f>
        <v>9345</v>
      </c>
      <c r="E47" s="16">
        <f>+E38-E45-E46</f>
        <v>9345</v>
      </c>
      <c r="F47" s="16">
        <f>+F38-F45-F46</f>
        <v>9345</v>
      </c>
      <c r="G47" s="62"/>
      <c r="H47" s="15" t="s">
        <v>19</v>
      </c>
      <c r="I47" s="16">
        <f>+I38-I45-I46</f>
        <v>9345</v>
      </c>
      <c r="J47" s="16">
        <f>J38-J45-J46</f>
        <v>11525.5</v>
      </c>
      <c r="K47" s="16">
        <f>K38-K45-K46</f>
        <v>11525.5</v>
      </c>
      <c r="L47" s="62"/>
      <c r="M47" s="15" t="s">
        <v>19</v>
      </c>
      <c r="N47" s="16">
        <f>+N38-N45-N46</f>
        <v>12460</v>
      </c>
      <c r="O47" s="16">
        <f>+O38-O45-O46</f>
        <v>12460</v>
      </c>
      <c r="P47" s="16"/>
      <c r="Q47" s="28"/>
      <c r="R47" s="18"/>
      <c r="S47" s="18"/>
      <c r="Y47" s="20">
        <v>70446.600000000006</v>
      </c>
    </row>
    <row r="48" spans="1:25" s="19" customFormat="1" ht="15">
      <c r="A48" s="25"/>
      <c r="B48" s="25"/>
      <c r="C48" s="26"/>
      <c r="D48" s="27"/>
      <c r="E48" s="27"/>
      <c r="F48" s="27"/>
      <c r="G48" s="64"/>
      <c r="H48" s="26"/>
      <c r="I48" s="27"/>
      <c r="J48" s="27"/>
      <c r="K48" s="27"/>
      <c r="L48" s="64"/>
      <c r="M48" s="26"/>
      <c r="N48" s="27"/>
      <c r="O48" s="27"/>
      <c r="P48" s="27"/>
      <c r="Q48" s="28"/>
      <c r="R48" s="18"/>
      <c r="S48" s="18"/>
      <c r="Y48" s="20"/>
    </row>
    <row r="49" spans="1:25" s="19" customFormat="1" ht="15">
      <c r="A49" s="25"/>
      <c r="B49" s="25"/>
      <c r="C49" s="58" t="s">
        <v>20</v>
      </c>
      <c r="D49" s="30"/>
      <c r="E49" s="31"/>
      <c r="F49" s="31">
        <f>+F47-E47</f>
        <v>0</v>
      </c>
      <c r="G49" s="64"/>
      <c r="H49" s="58" t="s">
        <v>20</v>
      </c>
      <c r="I49" s="30"/>
      <c r="J49" s="31"/>
      <c r="K49" s="31">
        <f>+K47-J47</f>
        <v>0</v>
      </c>
      <c r="L49" s="64"/>
      <c r="M49" s="35" t="s">
        <v>20</v>
      </c>
      <c r="N49" s="31"/>
      <c r="O49" s="31"/>
      <c r="P49" s="31">
        <f>+P47-O47</f>
        <v>-12460</v>
      </c>
      <c r="Q49" s="28"/>
      <c r="R49" s="18"/>
      <c r="S49" s="18"/>
      <c r="Y49" s="20"/>
    </row>
    <row r="50" spans="1:25" s="19" customFormat="1" ht="15">
      <c r="A50" s="25"/>
      <c r="B50" s="25"/>
      <c r="C50" s="36"/>
      <c r="D50" s="37"/>
      <c r="E50" s="37"/>
      <c r="F50" s="37"/>
      <c r="G50" s="64"/>
      <c r="H50" s="36"/>
      <c r="I50" s="37"/>
      <c r="J50" s="37"/>
      <c r="K50" s="37"/>
      <c r="L50" s="64"/>
      <c r="M50" s="36"/>
      <c r="N50" s="37"/>
      <c r="O50" s="37"/>
      <c r="P50" s="37"/>
      <c r="Q50" s="28"/>
      <c r="R50" s="18"/>
      <c r="S50" s="18"/>
      <c r="Y50" s="20"/>
    </row>
    <row r="51" spans="1:25" s="19" customFormat="1" ht="14.45" customHeight="1">
      <c r="A51" s="25"/>
      <c r="B51" s="103" t="s">
        <v>27</v>
      </c>
      <c r="C51" s="11" t="s">
        <v>28</v>
      </c>
      <c r="D51" s="12">
        <v>2016</v>
      </c>
      <c r="E51" s="12">
        <v>2017</v>
      </c>
      <c r="F51" s="12">
        <v>2018</v>
      </c>
      <c r="G51" s="65"/>
      <c r="H51" s="11" t="s">
        <v>29</v>
      </c>
      <c r="I51" s="12">
        <v>2016</v>
      </c>
      <c r="J51" s="12">
        <v>2017</v>
      </c>
      <c r="K51" s="12">
        <v>2018</v>
      </c>
      <c r="L51" s="65"/>
      <c r="M51" s="11" t="s">
        <v>30</v>
      </c>
      <c r="N51" s="12">
        <v>2016</v>
      </c>
      <c r="O51" s="12">
        <v>2017</v>
      </c>
      <c r="P51" s="12">
        <v>2018</v>
      </c>
      <c r="Q51" s="28"/>
      <c r="R51" s="18"/>
      <c r="S51" s="18"/>
      <c r="Y51" s="20"/>
    </row>
    <row r="52" spans="1:25" s="19" customFormat="1" ht="15">
      <c r="A52" s="25"/>
      <c r="B52" s="103"/>
      <c r="C52" s="15" t="s">
        <v>8</v>
      </c>
      <c r="D52" s="16">
        <f>750*14</f>
        <v>10500</v>
      </c>
      <c r="E52" s="16">
        <f>750*14</f>
        <v>10500</v>
      </c>
      <c r="F52" s="16">
        <f>750*14</f>
        <v>10500</v>
      </c>
      <c r="G52" s="62"/>
      <c r="H52" s="15" t="s">
        <v>8</v>
      </c>
      <c r="I52" s="16">
        <f>750*14</f>
        <v>10500</v>
      </c>
      <c r="J52" s="16">
        <f>925*14</f>
        <v>12950</v>
      </c>
      <c r="K52" s="16">
        <f>925*14</f>
        <v>12950</v>
      </c>
      <c r="L52" s="62"/>
      <c r="M52" s="15" t="s">
        <v>8</v>
      </c>
      <c r="N52" s="16">
        <f>+N38</f>
        <v>14000</v>
      </c>
      <c r="O52" s="16">
        <f>1000*14</f>
        <v>14000</v>
      </c>
      <c r="P52" s="16">
        <f>1000*14</f>
        <v>14000</v>
      </c>
      <c r="Q52" s="28"/>
      <c r="R52" s="18"/>
      <c r="S52" s="18"/>
      <c r="Y52" s="20"/>
    </row>
    <row r="53" spans="1:25" s="19" customFormat="1" ht="15">
      <c r="A53" s="25"/>
      <c r="B53" s="103"/>
      <c r="C53" s="15" t="s">
        <v>10</v>
      </c>
      <c r="D53" s="16">
        <v>-4104</v>
      </c>
      <c r="E53" s="16">
        <f>-MAX(4104,E52*11%)</f>
        <v>-4104</v>
      </c>
      <c r="F53" s="16">
        <f>-MAX(4104,F52*11%)</f>
        <v>-4104</v>
      </c>
      <c r="G53" s="62"/>
      <c r="H53" s="15" t="s">
        <v>10</v>
      </c>
      <c r="I53" s="16">
        <v>-4104</v>
      </c>
      <c r="J53" s="16">
        <f>-MAX(4104,J52*11%)</f>
        <v>-4104</v>
      </c>
      <c r="K53" s="16">
        <f>-MAX(4104,K52*11%)</f>
        <v>-4104</v>
      </c>
      <c r="L53" s="62"/>
      <c r="M53" s="15" t="s">
        <v>10</v>
      </c>
      <c r="N53" s="16">
        <f>+N39</f>
        <v>-4104</v>
      </c>
      <c r="O53" s="16">
        <f>-MAX(4104,O37*0.11)</f>
        <v>-4104</v>
      </c>
      <c r="P53" s="16">
        <f>-MAX(P52*0.11,4104)</f>
        <v>-4104</v>
      </c>
      <c r="Q53" s="77" t="s">
        <v>31</v>
      </c>
      <c r="R53" s="18"/>
      <c r="S53" s="18"/>
      <c r="Y53" s="20"/>
    </row>
    <row r="54" spans="1:25" s="19" customFormat="1" ht="15">
      <c r="A54" s="25"/>
      <c r="B54" s="14"/>
      <c r="C54" s="15" t="s">
        <v>11</v>
      </c>
      <c r="D54" s="16">
        <f>(+D52+D53)</f>
        <v>6396</v>
      </c>
      <c r="E54" s="16">
        <f>(+E52+E53)</f>
        <v>6396</v>
      </c>
      <c r="F54" s="16">
        <f>(+F52+F53)</f>
        <v>6396</v>
      </c>
      <c r="G54" s="62"/>
      <c r="H54" s="15" t="s">
        <v>11</v>
      </c>
      <c r="I54" s="16">
        <f>(+I52+I53)</f>
        <v>6396</v>
      </c>
      <c r="J54" s="16">
        <f>J52+J53</f>
        <v>8846</v>
      </c>
      <c r="K54" s="16">
        <f>K52+K53</f>
        <v>8846</v>
      </c>
      <c r="L54" s="62"/>
      <c r="M54" s="15" t="s">
        <v>11</v>
      </c>
      <c r="N54" s="16">
        <f>+N52+N53</f>
        <v>9896</v>
      </c>
      <c r="O54" s="16">
        <f>SUM(O52:O53)</f>
        <v>9896</v>
      </c>
      <c r="P54" s="16">
        <f>SUM(P52:P53)</f>
        <v>9896</v>
      </c>
      <c r="Q54" s="78">
        <f>O54/2</f>
        <v>4948</v>
      </c>
      <c r="R54" s="18"/>
      <c r="S54" s="18"/>
      <c r="Y54" s="20"/>
    </row>
    <row r="55" spans="1:25" s="19" customFormat="1" ht="15">
      <c r="A55" s="25"/>
      <c r="B55" s="14"/>
      <c r="C55" s="15" t="s">
        <v>13</v>
      </c>
      <c r="D55" s="16">
        <v>0</v>
      </c>
      <c r="E55" s="16">
        <f>((E54/2)*14.5%)*2</f>
        <v>927.42</v>
      </c>
      <c r="F55" s="16">
        <f>((F54/2)*14.5%)*2</f>
        <v>927.42</v>
      </c>
      <c r="G55" s="63"/>
      <c r="H55" s="15" t="s">
        <v>13</v>
      </c>
      <c r="I55" s="16">
        <v>0</v>
      </c>
      <c r="J55" s="16">
        <f>((J54/2)*14.5%-0)*2</f>
        <v>1282.6699999999998</v>
      </c>
      <c r="K55" s="16">
        <f>((K54/2)*14.5%-0)*2</f>
        <v>1282.6699999999998</v>
      </c>
      <c r="L55" s="63"/>
      <c r="M55" s="15" t="s">
        <v>13</v>
      </c>
      <c r="N55" s="16">
        <v>0</v>
      </c>
      <c r="O55" s="16">
        <f>((0.145*(O54/2))-0)*2</f>
        <v>1434.9199999999998</v>
      </c>
      <c r="P55" s="16">
        <f>((P54/2)*0.145-0)*2</f>
        <v>1434.9199999999998</v>
      </c>
      <c r="Q55" s="28"/>
      <c r="R55" s="18"/>
      <c r="S55" s="18"/>
      <c r="T55" s="97"/>
      <c r="Y55" s="20"/>
    </row>
    <row r="56" spans="1:25" s="19" customFormat="1" ht="15">
      <c r="A56" s="25"/>
      <c r="B56" s="14"/>
      <c r="C56" s="15" t="s">
        <v>14</v>
      </c>
      <c r="D56" s="16">
        <v>0</v>
      </c>
      <c r="E56" s="16">
        <f>-(MIN(0.15*1000+MIN(0.15*6000,800)+500,E55))</f>
        <v>-927.42</v>
      </c>
      <c r="F56" s="16">
        <f>-(MIN(0.15*1000+MIN(0.15*6000,800)+500,F55))</f>
        <v>-927.42</v>
      </c>
      <c r="G56" s="62"/>
      <c r="H56" s="15" t="s">
        <v>14</v>
      </c>
      <c r="I56" s="16">
        <v>0</v>
      </c>
      <c r="J56" s="16">
        <f>-MIN(0.15*1000+500+MIN(15%*6000,(800)),J55)</f>
        <v>-1282.6699999999998</v>
      </c>
      <c r="K56" s="16">
        <f>-MIN(0.15*1000+500+MIN(15%*6000,(800)),K55)</f>
        <v>-1282.6699999999998</v>
      </c>
      <c r="L56" s="62"/>
      <c r="M56" s="15" t="s">
        <v>14</v>
      </c>
      <c r="N56" s="16">
        <v>0</v>
      </c>
      <c r="O56" s="16">
        <f>-MIN(O55,0.15*1000+250*2+MIN(6000*0.15,800))</f>
        <v>-1434.9199999999998</v>
      </c>
      <c r="P56" s="16">
        <f>-MIN(P55,0.15*1000+250*2+MIN(6000*0.15,800))</f>
        <v>-1434.9199999999998</v>
      </c>
      <c r="Q56" s="28"/>
      <c r="R56" s="18"/>
      <c r="S56" s="18"/>
      <c r="Y56" s="20"/>
    </row>
    <row r="57" spans="1:25" s="19" customFormat="1" ht="15">
      <c r="A57" s="25"/>
      <c r="B57" s="14"/>
      <c r="C57" s="15" t="s">
        <v>15</v>
      </c>
      <c r="D57" s="16">
        <f>+D55+D56</f>
        <v>0</v>
      </c>
      <c r="E57" s="16">
        <f>+E55+E56</f>
        <v>0</v>
      </c>
      <c r="F57" s="16">
        <f>+F55+F56</f>
        <v>0</v>
      </c>
      <c r="G57" s="62"/>
      <c r="H57" s="15" t="s">
        <v>15</v>
      </c>
      <c r="I57" s="16">
        <f>+I55+I56</f>
        <v>0</v>
      </c>
      <c r="J57" s="16">
        <f>+J55+J56</f>
        <v>0</v>
      </c>
      <c r="K57" s="16">
        <f>+K55+K56</f>
        <v>0</v>
      </c>
      <c r="L57" s="62"/>
      <c r="M57" s="15" t="s">
        <v>15</v>
      </c>
      <c r="N57" s="16">
        <f>+N55+N56</f>
        <v>0</v>
      </c>
      <c r="O57" s="16">
        <f>+O55+O56</f>
        <v>0</v>
      </c>
      <c r="P57" s="16">
        <f>+P55+P56</f>
        <v>0</v>
      </c>
      <c r="Q57" s="28"/>
      <c r="R57" s="18"/>
      <c r="S57" s="18"/>
      <c r="Y57" s="20"/>
    </row>
    <row r="58" spans="1:25" s="19" customFormat="1" ht="15">
      <c r="A58" s="25"/>
      <c r="B58" s="14"/>
      <c r="C58" s="15" t="s">
        <v>16</v>
      </c>
      <c r="D58" s="16">
        <v>0</v>
      </c>
      <c r="E58" s="16">
        <v>0</v>
      </c>
      <c r="F58" s="16">
        <v>0</v>
      </c>
      <c r="G58" s="62"/>
      <c r="H58" s="15" t="s">
        <v>16</v>
      </c>
      <c r="I58" s="16">
        <v>0</v>
      </c>
      <c r="J58" s="16">
        <v>0</v>
      </c>
      <c r="K58" s="16">
        <v>0</v>
      </c>
      <c r="L58" s="62"/>
      <c r="M58" s="15" t="s">
        <v>16</v>
      </c>
      <c r="N58" s="16">
        <v>0</v>
      </c>
      <c r="O58" s="16">
        <v>0</v>
      </c>
      <c r="P58" s="16">
        <v>0</v>
      </c>
      <c r="Q58" s="28"/>
      <c r="R58" s="18"/>
      <c r="S58" s="18"/>
      <c r="Y58" s="20"/>
    </row>
    <row r="59" spans="1:25" s="19" customFormat="1" ht="15">
      <c r="A59" s="25"/>
      <c r="B59" s="14"/>
      <c r="C59" s="15" t="s">
        <v>17</v>
      </c>
      <c r="D59" s="16">
        <f>+D57+D58</f>
        <v>0</v>
      </c>
      <c r="E59" s="16">
        <f>+E57+E58</f>
        <v>0</v>
      </c>
      <c r="F59" s="16">
        <f>+F57+F58</f>
        <v>0</v>
      </c>
      <c r="G59" s="62"/>
      <c r="H59" s="15" t="s">
        <v>17</v>
      </c>
      <c r="I59" s="16">
        <f>+I57+I58</f>
        <v>0</v>
      </c>
      <c r="J59" s="16">
        <f>J57+J58</f>
        <v>0</v>
      </c>
      <c r="K59" s="16">
        <f>K57+K58</f>
        <v>0</v>
      </c>
      <c r="L59" s="62"/>
      <c r="M59" s="15" t="s">
        <v>17</v>
      </c>
      <c r="N59" s="16">
        <f>+N57+N58</f>
        <v>0</v>
      </c>
      <c r="O59" s="16">
        <f>+O57+O58</f>
        <v>0</v>
      </c>
      <c r="P59" s="16">
        <f>+P57+P58</f>
        <v>0</v>
      </c>
      <c r="Q59" s="28"/>
      <c r="R59" s="18"/>
      <c r="S59" s="18"/>
      <c r="Y59" s="20"/>
    </row>
    <row r="60" spans="1:25" s="19" customFormat="1" ht="15">
      <c r="A60" s="25"/>
      <c r="B60" s="14"/>
      <c r="C60" s="15" t="s">
        <v>18</v>
      </c>
      <c r="D60" s="16">
        <f>+D46</f>
        <v>1155</v>
      </c>
      <c r="E60" s="16">
        <f>+E46</f>
        <v>1155</v>
      </c>
      <c r="F60" s="16">
        <f>+F46</f>
        <v>1155</v>
      </c>
      <c r="G60" s="62"/>
      <c r="H60" s="15" t="s">
        <v>18</v>
      </c>
      <c r="I60" s="16">
        <f>+I46</f>
        <v>1155</v>
      </c>
      <c r="J60" s="16">
        <f>J52*0.11</f>
        <v>1424.5</v>
      </c>
      <c r="K60" s="16">
        <f>K52*0.11</f>
        <v>1424.5</v>
      </c>
      <c r="L60" s="62"/>
      <c r="M60" s="15" t="s">
        <v>18</v>
      </c>
      <c r="N60" s="16">
        <f>+N46</f>
        <v>1540</v>
      </c>
      <c r="O60" s="16">
        <f>0.11*O52</f>
        <v>1540</v>
      </c>
      <c r="P60" s="16">
        <f>0.11*P52</f>
        <v>1540</v>
      </c>
      <c r="Q60" s="28"/>
      <c r="R60" s="18"/>
      <c r="S60" s="18"/>
      <c r="Y60" s="20"/>
    </row>
    <row r="61" spans="1:25" s="19" customFormat="1" ht="15">
      <c r="A61" s="25"/>
      <c r="B61" s="23"/>
      <c r="C61" s="15" t="s">
        <v>19</v>
      </c>
      <c r="D61" s="16">
        <f>+D52-D59-D60</f>
        <v>9345</v>
      </c>
      <c r="E61" s="16">
        <f>+E52-E59-E60</f>
        <v>9345</v>
      </c>
      <c r="F61" s="16">
        <f>+F52-F59-F60</f>
        <v>9345</v>
      </c>
      <c r="G61" s="62"/>
      <c r="H61" s="15" t="s">
        <v>19</v>
      </c>
      <c r="I61" s="16">
        <f>+I52-I59-I60</f>
        <v>9345</v>
      </c>
      <c r="J61" s="16">
        <f>J52-J57-J60-J58</f>
        <v>11525.5</v>
      </c>
      <c r="K61" s="16">
        <f>K52-K57-K60-K58</f>
        <v>11525.5</v>
      </c>
      <c r="L61" s="62"/>
      <c r="M61" s="15" t="s">
        <v>19</v>
      </c>
      <c r="N61" s="16">
        <f>+N52-N59-N60</f>
        <v>12460</v>
      </c>
      <c r="O61" s="16">
        <f>+O52-O59-O60</f>
        <v>12460</v>
      </c>
      <c r="P61" s="16">
        <f>+P52-P59-P60</f>
        <v>12460</v>
      </c>
      <c r="Q61" s="28"/>
      <c r="R61" s="18"/>
      <c r="S61" s="18"/>
      <c r="Y61" s="20">
        <v>78919.87</v>
      </c>
    </row>
    <row r="62" spans="1:25" s="19" customFormat="1" ht="15">
      <c r="A62" s="25"/>
      <c r="B62" s="25"/>
      <c r="C62" s="26"/>
      <c r="D62" s="27"/>
      <c r="E62" s="27"/>
      <c r="F62" s="27"/>
      <c r="G62" s="62"/>
      <c r="H62" s="26"/>
      <c r="I62" s="27"/>
      <c r="J62" s="27"/>
      <c r="K62" s="27"/>
      <c r="L62" s="62"/>
      <c r="M62" s="26"/>
      <c r="N62" s="27"/>
      <c r="O62" s="27"/>
      <c r="P62" s="27"/>
      <c r="Q62" s="28"/>
      <c r="R62" s="18"/>
      <c r="S62" s="18"/>
      <c r="Y62" s="20"/>
    </row>
    <row r="63" spans="1:25" s="19" customFormat="1" ht="15">
      <c r="A63" s="25"/>
      <c r="B63" s="25"/>
      <c r="C63" s="29" t="s">
        <v>20</v>
      </c>
      <c r="D63" s="30"/>
      <c r="E63" s="31"/>
      <c r="F63" s="31">
        <f>+F61-E61</f>
        <v>0</v>
      </c>
      <c r="G63" s="64"/>
      <c r="H63" s="29" t="s">
        <v>20</v>
      </c>
      <c r="I63" s="30"/>
      <c r="J63" s="31"/>
      <c r="K63" s="31">
        <f>+K61-J61</f>
        <v>0</v>
      </c>
      <c r="L63" s="64"/>
      <c r="M63" s="29" t="s">
        <v>20</v>
      </c>
      <c r="N63" s="30"/>
      <c r="O63" s="31"/>
      <c r="P63" s="31">
        <f>+P61-O61</f>
        <v>0</v>
      </c>
      <c r="Q63" s="28"/>
      <c r="R63" s="18"/>
      <c r="S63" s="18"/>
      <c r="Y63" s="20"/>
    </row>
    <row r="64" spans="1:25" s="19" customFormat="1" ht="15">
      <c r="A64" s="25"/>
      <c r="B64" s="10"/>
      <c r="C64" s="29"/>
      <c r="D64" s="32"/>
      <c r="E64" s="33"/>
      <c r="F64" s="33"/>
      <c r="G64" s="64"/>
      <c r="H64" s="29"/>
      <c r="I64" s="32"/>
      <c r="J64" s="33"/>
      <c r="K64" s="33"/>
      <c r="L64" s="64"/>
      <c r="M64" s="29"/>
      <c r="N64" s="32"/>
      <c r="O64" s="33"/>
      <c r="P64" s="33"/>
      <c r="Q64" s="28"/>
      <c r="R64" s="18"/>
      <c r="S64" s="18"/>
      <c r="Y64" s="20"/>
    </row>
    <row r="65" spans="1:25" s="19" customFormat="1" ht="15">
      <c r="A65" s="25"/>
      <c r="B65" s="10"/>
      <c r="C65" s="11" t="s">
        <v>32</v>
      </c>
      <c r="D65" s="12">
        <v>2016</v>
      </c>
      <c r="E65" s="12">
        <v>2017</v>
      </c>
      <c r="F65" s="12">
        <v>2018</v>
      </c>
      <c r="G65" s="65"/>
      <c r="H65" s="11" t="s">
        <v>33</v>
      </c>
      <c r="I65" s="12">
        <v>2016</v>
      </c>
      <c r="J65" s="12">
        <v>2017</v>
      </c>
      <c r="K65" s="12">
        <v>2018</v>
      </c>
      <c r="L65" s="65"/>
      <c r="M65" s="11" t="s">
        <v>34</v>
      </c>
      <c r="N65" s="12">
        <v>2016</v>
      </c>
      <c r="O65" s="12">
        <v>2017</v>
      </c>
      <c r="P65" s="12">
        <v>2018</v>
      </c>
      <c r="Q65" s="28"/>
      <c r="R65" s="18"/>
      <c r="S65" s="18"/>
      <c r="Y65" s="20"/>
    </row>
    <row r="66" spans="1:25" s="19" customFormat="1" ht="15">
      <c r="A66" s="25"/>
      <c r="B66" s="14"/>
      <c r="C66" s="15" t="s">
        <v>8</v>
      </c>
      <c r="D66" s="16">
        <f>+D52</f>
        <v>10500</v>
      </c>
      <c r="E66" s="16">
        <f>+E52</f>
        <v>10500</v>
      </c>
      <c r="F66" s="16">
        <f>+F52</f>
        <v>10500</v>
      </c>
      <c r="G66" s="62"/>
      <c r="H66" s="15" t="s">
        <v>8</v>
      </c>
      <c r="I66" s="16">
        <f>+I52</f>
        <v>10500</v>
      </c>
      <c r="J66" s="16">
        <f>925*14</f>
        <v>12950</v>
      </c>
      <c r="K66" s="16">
        <f>925*14</f>
        <v>12950</v>
      </c>
      <c r="L66" s="62"/>
      <c r="M66" s="15" t="s">
        <v>8</v>
      </c>
      <c r="N66" s="16">
        <f>+N52</f>
        <v>14000</v>
      </c>
      <c r="O66" s="16">
        <f>+O52</f>
        <v>14000</v>
      </c>
      <c r="P66" s="16"/>
      <c r="Q66" s="28"/>
      <c r="R66" s="18"/>
      <c r="S66" s="18"/>
      <c r="Y66" s="20"/>
    </row>
    <row r="67" spans="1:25" s="19" customFormat="1" ht="15">
      <c r="A67" s="25"/>
      <c r="B67" s="14"/>
      <c r="C67" s="15" t="s">
        <v>10</v>
      </c>
      <c r="D67" s="16">
        <f>+D53</f>
        <v>-4104</v>
      </c>
      <c r="E67" s="16">
        <f>-MAX(4104,E66*11%)</f>
        <v>-4104</v>
      </c>
      <c r="F67" s="16">
        <f>-MAX(4104,F66*11%)</f>
        <v>-4104</v>
      </c>
      <c r="G67" s="62"/>
      <c r="H67" s="15" t="s">
        <v>10</v>
      </c>
      <c r="I67" s="16">
        <f>+I53</f>
        <v>-4104</v>
      </c>
      <c r="J67" s="16">
        <f>-MAX(4104,J66*11%)</f>
        <v>-4104</v>
      </c>
      <c r="K67" s="16">
        <f>-MAX(4104,K66*11%)</f>
        <v>-4104</v>
      </c>
      <c r="L67" s="62"/>
      <c r="M67" s="15" t="s">
        <v>10</v>
      </c>
      <c r="N67" s="16">
        <f>+N53</f>
        <v>-4104</v>
      </c>
      <c r="O67" s="16">
        <f>-MAX(4104,O51*0.11)</f>
        <v>-4104</v>
      </c>
      <c r="P67" s="16"/>
      <c r="Q67" s="77" t="s">
        <v>31</v>
      </c>
      <c r="R67" s="18"/>
      <c r="S67" s="18"/>
      <c r="Y67" s="20"/>
    </row>
    <row r="68" spans="1:25" s="19" customFormat="1" ht="15">
      <c r="A68" s="25"/>
      <c r="B68" s="14"/>
      <c r="C68" s="15" t="s">
        <v>11</v>
      </c>
      <c r="D68" s="16">
        <f>+D66+D67</f>
        <v>6396</v>
      </c>
      <c r="E68" s="16">
        <f>+E66+E67</f>
        <v>6396</v>
      </c>
      <c r="F68" s="16">
        <f>+F66+F67</f>
        <v>6396</v>
      </c>
      <c r="G68" s="62"/>
      <c r="H68" s="15" t="s">
        <v>11</v>
      </c>
      <c r="I68" s="16">
        <f>+I66+I67</f>
        <v>6396</v>
      </c>
      <c r="J68" s="16">
        <f>J66+J67</f>
        <v>8846</v>
      </c>
      <c r="K68" s="16">
        <f>K66+K67</f>
        <v>8846</v>
      </c>
      <c r="L68" s="62"/>
      <c r="M68" s="15" t="s">
        <v>11</v>
      </c>
      <c r="N68" s="16">
        <f>+N66+N67</f>
        <v>9896</v>
      </c>
      <c r="O68" s="16">
        <f>SUM(O66:O67)</f>
        <v>9896</v>
      </c>
      <c r="P68" s="16"/>
      <c r="Q68" s="78">
        <f>O68/2</f>
        <v>4948</v>
      </c>
      <c r="R68" s="18"/>
      <c r="S68" s="18"/>
      <c r="Y68" s="20"/>
    </row>
    <row r="69" spans="1:25" s="19" customFormat="1" ht="15">
      <c r="A69" s="25"/>
      <c r="B69" s="14"/>
      <c r="C69" s="15" t="s">
        <v>13</v>
      </c>
      <c r="D69" s="16">
        <v>0</v>
      </c>
      <c r="E69" s="16">
        <f>((E68/2)*14.5%)*2</f>
        <v>927.42</v>
      </c>
      <c r="F69" s="16">
        <f>((F68/2)*14.5%)*2</f>
        <v>927.42</v>
      </c>
      <c r="G69" s="63"/>
      <c r="H69" s="15" t="s">
        <v>13</v>
      </c>
      <c r="I69" s="16">
        <v>0</v>
      </c>
      <c r="J69" s="16">
        <f>((J68/2)*14.5%-0)*2</f>
        <v>1282.6699999999998</v>
      </c>
      <c r="K69" s="16">
        <f>((K68/2)*14.5%-0)*2</f>
        <v>1282.6699999999998</v>
      </c>
      <c r="L69" s="63"/>
      <c r="M69" s="15" t="s">
        <v>13</v>
      </c>
      <c r="N69" s="16">
        <v>0</v>
      </c>
      <c r="O69" s="16">
        <f>((0.145*(O68/2))-0)*2</f>
        <v>1434.9199999999998</v>
      </c>
      <c r="P69" s="16"/>
      <c r="Q69" s="28"/>
      <c r="R69" s="18"/>
      <c r="S69" s="18"/>
      <c r="Y69" s="20"/>
    </row>
    <row r="70" spans="1:25" s="19" customFormat="1" ht="15">
      <c r="A70" s="25"/>
      <c r="B70" s="14"/>
      <c r="C70" s="15" t="s">
        <v>14</v>
      </c>
      <c r="D70" s="16">
        <f>-(MIN(0.15*1000+MIN(0.3*6000,800)+0.3*1100+500+600,D69))</f>
        <v>0</v>
      </c>
      <c r="E70" s="16">
        <f>-(MIN(0.15*1000+MIN(0.15*6000,800)+0.3*1100+500+600,E69))</f>
        <v>-927.42</v>
      </c>
      <c r="F70" s="16">
        <f>-(MIN(0.15*1000+MIN(0.15*6000,800)+0.3*1100+500+600,F69))</f>
        <v>-927.42</v>
      </c>
      <c r="G70" s="62"/>
      <c r="H70" s="15" t="s">
        <v>14</v>
      </c>
      <c r="I70" s="16">
        <f>-(MIN(0.15*1000+MIN(0.3*6000,800)+0.3*1100+500+600,I69))</f>
        <v>0</v>
      </c>
      <c r="J70" s="16">
        <f>-MIN(600+MIN(0.3*1100,800)+500+0.15*1000+MIN(0.15*6000,(800)),J69)</f>
        <v>-1282.6699999999998</v>
      </c>
      <c r="K70" s="16">
        <f>-MIN(600+MIN(0.3*1100,800)+500+0.15*1000+MIN(0.15*6000,(800)),K69)</f>
        <v>-1282.6699999999998</v>
      </c>
      <c r="L70" s="62"/>
      <c r="M70" s="15" t="s">
        <v>14</v>
      </c>
      <c r="N70" s="16">
        <v>0</v>
      </c>
      <c r="O70" s="16">
        <f>-(MIN(0.15*1000+MIN(0.15*6000,800)+0.3*1100+250*2+600,O69))</f>
        <v>-1434.9199999999998</v>
      </c>
      <c r="P70" s="16"/>
      <c r="Q70" s="28"/>
      <c r="R70" s="18"/>
      <c r="S70" s="18"/>
      <c r="Y70" s="20"/>
    </row>
    <row r="71" spans="1:25" s="19" customFormat="1" ht="15">
      <c r="A71" s="25"/>
      <c r="B71" s="14"/>
      <c r="C71" s="15" t="s">
        <v>15</v>
      </c>
      <c r="D71" s="16">
        <f>+D69+D70</f>
        <v>0</v>
      </c>
      <c r="E71" s="16">
        <f>+E69+E70</f>
        <v>0</v>
      </c>
      <c r="F71" s="16">
        <f>+F69+F70</f>
        <v>0</v>
      </c>
      <c r="G71" s="62"/>
      <c r="H71" s="15" t="s">
        <v>15</v>
      </c>
      <c r="I71" s="16">
        <f>+I69+I70</f>
        <v>0</v>
      </c>
      <c r="J71" s="16">
        <f>J69+J70</f>
        <v>0</v>
      </c>
      <c r="K71" s="16">
        <f>K69+K70</f>
        <v>0</v>
      </c>
      <c r="L71" s="62"/>
      <c r="M71" s="15" t="s">
        <v>15</v>
      </c>
      <c r="N71" s="16">
        <f>+N69+N70</f>
        <v>0</v>
      </c>
      <c r="O71" s="16">
        <f>+O69+O70</f>
        <v>0</v>
      </c>
      <c r="P71" s="16"/>
      <c r="Q71" s="28"/>
      <c r="R71" s="18"/>
      <c r="S71" s="18"/>
      <c r="Y71" s="20"/>
    </row>
    <row r="72" spans="1:25" s="19" customFormat="1" ht="15">
      <c r="A72" s="25"/>
      <c r="B72" s="14"/>
      <c r="C72" s="15" t="s">
        <v>16</v>
      </c>
      <c r="D72" s="16">
        <v>0</v>
      </c>
      <c r="E72" s="16">
        <v>0</v>
      </c>
      <c r="F72" s="16">
        <v>0</v>
      </c>
      <c r="G72" s="62"/>
      <c r="H72" s="15" t="s">
        <v>16</v>
      </c>
      <c r="I72" s="16">
        <v>0</v>
      </c>
      <c r="J72" s="16">
        <v>0</v>
      </c>
      <c r="K72" s="16">
        <v>0</v>
      </c>
      <c r="L72" s="62"/>
      <c r="M72" s="15" t="s">
        <v>16</v>
      </c>
      <c r="N72" s="16">
        <v>0</v>
      </c>
      <c r="O72" s="16">
        <v>0</v>
      </c>
      <c r="P72" s="16"/>
      <c r="Q72" s="28"/>
      <c r="R72" s="18"/>
      <c r="S72" s="18"/>
      <c r="Y72" s="20"/>
    </row>
    <row r="73" spans="1:25" s="19" customFormat="1" ht="15">
      <c r="A73" s="25"/>
      <c r="B73" s="14"/>
      <c r="C73" s="15" t="s">
        <v>17</v>
      </c>
      <c r="D73" s="16">
        <f>+D71+D72</f>
        <v>0</v>
      </c>
      <c r="E73" s="16">
        <f>+E71+E72</f>
        <v>0</v>
      </c>
      <c r="F73" s="16">
        <f>+F71+F72</f>
        <v>0</v>
      </c>
      <c r="G73" s="62"/>
      <c r="H73" s="15" t="s">
        <v>17</v>
      </c>
      <c r="I73" s="16">
        <f>+I71+I72</f>
        <v>0</v>
      </c>
      <c r="J73" s="16">
        <f>J71+J72</f>
        <v>0</v>
      </c>
      <c r="K73" s="16">
        <f>K71+K72</f>
        <v>0</v>
      </c>
      <c r="L73" s="62"/>
      <c r="M73" s="15" t="s">
        <v>17</v>
      </c>
      <c r="N73" s="16">
        <f>+N71+N72</f>
        <v>0</v>
      </c>
      <c r="O73" s="16">
        <f>+O71+O72</f>
        <v>0</v>
      </c>
      <c r="P73" s="16"/>
      <c r="Q73" s="28"/>
      <c r="R73" s="18"/>
      <c r="S73" s="18"/>
      <c r="Y73" s="20"/>
    </row>
    <row r="74" spans="1:25" s="19" customFormat="1" ht="15">
      <c r="A74" s="25"/>
      <c r="B74" s="14"/>
      <c r="C74" s="15" t="s">
        <v>18</v>
      </c>
      <c r="D74" s="16">
        <f>+D60</f>
        <v>1155</v>
      </c>
      <c r="E74" s="16">
        <f>+E60</f>
        <v>1155</v>
      </c>
      <c r="F74" s="16">
        <f>+F60</f>
        <v>1155</v>
      </c>
      <c r="G74" s="62"/>
      <c r="H74" s="15" t="s">
        <v>18</v>
      </c>
      <c r="I74" s="16">
        <f>+I60</f>
        <v>1155</v>
      </c>
      <c r="J74" s="16">
        <f>J66*0.11</f>
        <v>1424.5</v>
      </c>
      <c r="K74" s="16">
        <f>K66*0.11</f>
        <v>1424.5</v>
      </c>
      <c r="L74" s="62"/>
      <c r="M74" s="15" t="s">
        <v>18</v>
      </c>
      <c r="N74" s="16">
        <f>+N60</f>
        <v>1540</v>
      </c>
      <c r="O74" s="16">
        <f>0.11*O66</f>
        <v>1540</v>
      </c>
      <c r="P74" s="16"/>
      <c r="Q74" s="28"/>
      <c r="R74" s="18"/>
      <c r="S74" s="18"/>
      <c r="Y74" s="20"/>
    </row>
    <row r="75" spans="1:25" s="19" customFormat="1" ht="15">
      <c r="A75" s="25"/>
      <c r="B75" s="23"/>
      <c r="C75" s="15" t="s">
        <v>19</v>
      </c>
      <c r="D75" s="16">
        <f>+D66-D73-D74</f>
        <v>9345</v>
      </c>
      <c r="E75" s="16">
        <f>+E66-E73-E74</f>
        <v>9345</v>
      </c>
      <c r="F75" s="16">
        <f>+F66-F73-F74</f>
        <v>9345</v>
      </c>
      <c r="G75" s="62"/>
      <c r="H75" s="15" t="s">
        <v>19</v>
      </c>
      <c r="I75" s="16">
        <f>+I66-I73-I74</f>
        <v>9345</v>
      </c>
      <c r="J75" s="16">
        <f>J66-J73-J74</f>
        <v>11525.5</v>
      </c>
      <c r="K75" s="16">
        <f>K66-K73-K74</f>
        <v>11525.5</v>
      </c>
      <c r="L75" s="62"/>
      <c r="M75" s="15" t="s">
        <v>19</v>
      </c>
      <c r="N75" s="16">
        <f>+N66-N73-N74</f>
        <v>12460</v>
      </c>
      <c r="O75" s="16">
        <f>+O66-O73-O74</f>
        <v>12460</v>
      </c>
      <c r="P75" s="16"/>
      <c r="Q75" s="28"/>
      <c r="R75" s="18"/>
      <c r="S75" s="18"/>
      <c r="Y75" s="20">
        <v>79533.119999999995</v>
      </c>
    </row>
    <row r="76" spans="1:25" s="19" customFormat="1" ht="15">
      <c r="A76" s="25"/>
      <c r="B76" s="25"/>
      <c r="C76" s="26"/>
      <c r="D76" s="27"/>
      <c r="E76" s="27"/>
      <c r="F76" s="27"/>
      <c r="G76" s="64"/>
      <c r="H76" s="26"/>
      <c r="I76" s="27"/>
      <c r="J76" s="27"/>
      <c r="K76" s="27"/>
      <c r="L76" s="64"/>
      <c r="M76" s="26"/>
      <c r="N76" s="27"/>
      <c r="O76" s="27"/>
      <c r="P76" s="27"/>
      <c r="Q76" s="28"/>
      <c r="R76" s="18"/>
      <c r="S76" s="18"/>
      <c r="Y76" s="20"/>
    </row>
    <row r="77" spans="1:25" s="19" customFormat="1" ht="15">
      <c r="A77" s="25"/>
      <c r="B77" s="25"/>
      <c r="C77" s="58" t="s">
        <v>20</v>
      </c>
      <c r="D77" s="30"/>
      <c r="E77" s="31"/>
      <c r="F77" s="31">
        <f>+F75-E75</f>
        <v>0</v>
      </c>
      <c r="G77" s="64"/>
      <c r="H77" s="58" t="s">
        <v>20</v>
      </c>
      <c r="I77" s="30"/>
      <c r="J77" s="31"/>
      <c r="K77" s="31">
        <f>+K75-J75</f>
        <v>0</v>
      </c>
      <c r="L77" s="64"/>
      <c r="M77" s="35" t="s">
        <v>20</v>
      </c>
      <c r="N77" s="31"/>
      <c r="O77" s="31"/>
      <c r="P77" s="31">
        <f>+P75-O75</f>
        <v>-12460</v>
      </c>
      <c r="Q77" s="28"/>
      <c r="R77" s="18"/>
      <c r="S77" s="18"/>
      <c r="Y77" s="20"/>
    </row>
    <row r="78" spans="1:25" s="19" customFormat="1" ht="15">
      <c r="A78" s="25"/>
      <c r="B78" s="25"/>
      <c r="C78" s="36"/>
      <c r="D78" s="37"/>
      <c r="E78" s="37"/>
      <c r="F78" s="37"/>
      <c r="G78" s="64"/>
      <c r="H78" s="36"/>
      <c r="I78" s="37"/>
      <c r="J78" s="37"/>
      <c r="K78" s="37"/>
      <c r="L78" s="64"/>
      <c r="M78" s="36"/>
      <c r="N78" s="37"/>
      <c r="O78" s="37"/>
      <c r="P78" s="37"/>
      <c r="Q78" s="28"/>
      <c r="R78" s="18"/>
      <c r="S78" s="18"/>
      <c r="Y78" s="20"/>
    </row>
    <row r="79" spans="1:25" s="19" customFormat="1" ht="15">
      <c r="A79" s="25"/>
      <c r="B79" s="25"/>
      <c r="C79" s="11" t="s">
        <v>35</v>
      </c>
      <c r="D79" s="12">
        <v>2016</v>
      </c>
      <c r="E79" s="12">
        <v>2017</v>
      </c>
      <c r="F79" s="12">
        <v>2018</v>
      </c>
      <c r="G79" s="65"/>
      <c r="H79" s="11" t="s">
        <v>36</v>
      </c>
      <c r="I79" s="12">
        <v>2016</v>
      </c>
      <c r="J79" s="12">
        <v>2017</v>
      </c>
      <c r="K79" s="12">
        <v>2018</v>
      </c>
      <c r="L79" s="65"/>
      <c r="M79" s="11" t="s">
        <v>37</v>
      </c>
      <c r="N79" s="12">
        <v>2016</v>
      </c>
      <c r="O79" s="12">
        <v>2017</v>
      </c>
      <c r="P79" s="12">
        <v>2018</v>
      </c>
      <c r="Q79" s="28"/>
      <c r="R79" s="18"/>
      <c r="S79" s="18"/>
      <c r="Y79" s="20"/>
    </row>
    <row r="80" spans="1:25" s="19" customFormat="1" ht="15">
      <c r="A80" s="25"/>
      <c r="B80" s="25"/>
      <c r="C80" s="15" t="s">
        <v>8</v>
      </c>
      <c r="D80" s="16">
        <f>+D66</f>
        <v>10500</v>
      </c>
      <c r="E80" s="16">
        <f>+E66</f>
        <v>10500</v>
      </c>
      <c r="F80" s="16">
        <f>+F66</f>
        <v>10500</v>
      </c>
      <c r="G80" s="62"/>
      <c r="H80" s="15" t="s">
        <v>8</v>
      </c>
      <c r="I80" s="16">
        <f>+I66</f>
        <v>10500</v>
      </c>
      <c r="J80" s="16">
        <f>925*14</f>
        <v>12950</v>
      </c>
      <c r="K80" s="16">
        <f>925*14</f>
        <v>12950</v>
      </c>
      <c r="L80" s="62"/>
      <c r="M80" s="15" t="s">
        <v>8</v>
      </c>
      <c r="N80" s="16">
        <f>+N66</f>
        <v>14000</v>
      </c>
      <c r="O80" s="16">
        <f>+O66</f>
        <v>14000</v>
      </c>
      <c r="P80" s="16"/>
      <c r="Q80" s="28">
        <f>+N82/2</f>
        <v>4948</v>
      </c>
      <c r="R80" s="18"/>
      <c r="S80" s="18"/>
      <c r="Y80" s="20"/>
    </row>
    <row r="81" spans="1:25" s="19" customFormat="1" ht="15">
      <c r="A81" s="25"/>
      <c r="B81" s="25"/>
      <c r="C81" s="15" t="s">
        <v>10</v>
      </c>
      <c r="D81" s="16">
        <v>-4104</v>
      </c>
      <c r="E81" s="16">
        <v>-4104</v>
      </c>
      <c r="F81" s="16">
        <v>-4103</v>
      </c>
      <c r="G81" s="62"/>
      <c r="H81" s="15" t="s">
        <v>10</v>
      </c>
      <c r="I81" s="16">
        <v>-4104</v>
      </c>
      <c r="J81" s="16">
        <f>-MAX(4104,J80*11%)</f>
        <v>-4104</v>
      </c>
      <c r="K81" s="16">
        <f>-MAX(4104,K80*11%)</f>
        <v>-4104</v>
      </c>
      <c r="L81" s="62"/>
      <c r="M81" s="15" t="s">
        <v>10</v>
      </c>
      <c r="N81" s="16">
        <f>+N67</f>
        <v>-4104</v>
      </c>
      <c r="O81" s="16">
        <f>-MAX(4104,O65*0.11)</f>
        <v>-4104</v>
      </c>
      <c r="P81" s="16"/>
      <c r="Q81" s="77" t="s">
        <v>31</v>
      </c>
      <c r="R81" s="18"/>
      <c r="S81" s="18"/>
      <c r="Y81" s="20"/>
    </row>
    <row r="82" spans="1:25" s="19" customFormat="1" ht="15">
      <c r="A82" s="25"/>
      <c r="B82" s="25"/>
      <c r="C82" s="15" t="s">
        <v>11</v>
      </c>
      <c r="D82" s="16">
        <f>+D80+D81</f>
        <v>6396</v>
      </c>
      <c r="E82" s="16">
        <f>+E80+E81</f>
        <v>6396</v>
      </c>
      <c r="F82" s="16">
        <f>+F80+F81</f>
        <v>6397</v>
      </c>
      <c r="G82" s="62"/>
      <c r="H82" s="15" t="s">
        <v>11</v>
      </c>
      <c r="I82" s="16">
        <f>+I80+I81</f>
        <v>6396</v>
      </c>
      <c r="J82" s="16">
        <f>J80+J81</f>
        <v>8846</v>
      </c>
      <c r="K82" s="16">
        <f>K80+K81</f>
        <v>8846</v>
      </c>
      <c r="L82" s="62"/>
      <c r="M82" s="15" t="s">
        <v>11</v>
      </c>
      <c r="N82" s="16">
        <f>+N80+N81</f>
        <v>9896</v>
      </c>
      <c r="O82" s="16">
        <f>SUM(O80:O81)</f>
        <v>9896</v>
      </c>
      <c r="P82" s="16"/>
      <c r="Q82" s="78">
        <f>O82/2</f>
        <v>4948</v>
      </c>
      <c r="R82" s="18"/>
      <c r="S82" s="18"/>
      <c r="Y82" s="20"/>
    </row>
    <row r="83" spans="1:25" s="19" customFormat="1" ht="15">
      <c r="A83" s="25"/>
      <c r="B83" s="25"/>
      <c r="C83" s="15" t="s">
        <v>13</v>
      </c>
      <c r="D83" s="16">
        <v>0</v>
      </c>
      <c r="E83" s="16">
        <v>927.42</v>
      </c>
      <c r="F83" s="16">
        <v>928.42</v>
      </c>
      <c r="G83" s="63"/>
      <c r="H83" s="15" t="s">
        <v>13</v>
      </c>
      <c r="I83" s="16">
        <v>0</v>
      </c>
      <c r="J83" s="16">
        <f>((J82/2)*14.5%-0)*2</f>
        <v>1282.6699999999998</v>
      </c>
      <c r="K83" s="16">
        <f>((K82/2)*14.5%-0)*2</f>
        <v>1282.6699999999998</v>
      </c>
      <c r="L83" s="63"/>
      <c r="M83" s="15" t="s">
        <v>13</v>
      </c>
      <c r="N83" s="16">
        <v>0</v>
      </c>
      <c r="O83" s="16">
        <f>((0.145*(O82/2))-0)*2</f>
        <v>1434.9199999999998</v>
      </c>
      <c r="P83" s="16"/>
      <c r="Q83" s="39"/>
      <c r="R83" s="18"/>
      <c r="S83" s="18"/>
      <c r="Y83" s="20"/>
    </row>
    <row r="84" spans="1:25" s="19" customFormat="1" ht="15">
      <c r="A84" s="25"/>
      <c r="B84" s="25"/>
      <c r="C84" s="15" t="s">
        <v>14</v>
      </c>
      <c r="D84" s="16">
        <f>-(MIN(0.15*1000+MIN(0.15*6000,800)+500+600*2+MIN(0.3*2200,800),D83))</f>
        <v>0</v>
      </c>
      <c r="E84" s="16">
        <f>-(MIN(0.15*1000+MIN(0.15*6000,800)+500+600*2+MIN(0.3*2200,800),E83))</f>
        <v>-927.42</v>
      </c>
      <c r="F84" s="16">
        <f>-(MIN(0.15*1000+MIN(0.15*6000,800)+500+600*2+MIN(0.3*2200,800),F83))</f>
        <v>-928.42</v>
      </c>
      <c r="G84" s="62"/>
      <c r="H84" s="15" t="s">
        <v>14</v>
      </c>
      <c r="I84" s="16">
        <f>-(MIN(0.15*1000+MIN(0.15*6000,800)+500+600*2+MIN(0.3*2200,800),I83))</f>
        <v>0</v>
      </c>
      <c r="J84" s="16">
        <f>-MIN(1200+MIN(0.3*2200,800)+500+0.15*1000+MIN(0.15*6000,(800)),J83)</f>
        <v>-1282.6699999999998</v>
      </c>
      <c r="K84" s="16">
        <f>-MIN(1200+MIN(0.3*2200,800)+500+0.15*1000+MIN(0.15*6000,(800)),K83)</f>
        <v>-1282.6699999999998</v>
      </c>
      <c r="L84" s="62"/>
      <c r="M84" s="15" t="s">
        <v>14</v>
      </c>
      <c r="N84" s="16">
        <v>0</v>
      </c>
      <c r="O84" s="16">
        <f>-(MIN(0.15*1000+MIN(0.15*6000,800)+MIN(0.3*1100,800)*2+250*2+600*2,O83))</f>
        <v>-1434.9199999999998</v>
      </c>
      <c r="P84" s="16"/>
      <c r="Q84" s="38">
        <f>+N82/2</f>
        <v>4948</v>
      </c>
      <c r="R84" s="18"/>
      <c r="S84" s="18"/>
      <c r="Y84" s="20"/>
    </row>
    <row r="85" spans="1:25" s="19" customFormat="1" ht="15">
      <c r="A85" s="25"/>
      <c r="B85" s="25"/>
      <c r="C85" s="15" t="s">
        <v>15</v>
      </c>
      <c r="D85" s="16">
        <f>+D83+D84</f>
        <v>0</v>
      </c>
      <c r="E85" s="16">
        <f>+E83+E84</f>
        <v>0</v>
      </c>
      <c r="F85" s="16">
        <f>+F83+F84</f>
        <v>0</v>
      </c>
      <c r="G85" s="62"/>
      <c r="H85" s="15" t="s">
        <v>15</v>
      </c>
      <c r="I85" s="16">
        <f>+I83+I84</f>
        <v>0</v>
      </c>
      <c r="J85" s="16">
        <f>J83+J84</f>
        <v>0</v>
      </c>
      <c r="K85" s="16">
        <f>K83+K84</f>
        <v>0</v>
      </c>
      <c r="L85" s="62"/>
      <c r="M85" s="15" t="s">
        <v>15</v>
      </c>
      <c r="N85" s="16">
        <f>+N83+N84</f>
        <v>0</v>
      </c>
      <c r="O85" s="16">
        <f>+O83+O84</f>
        <v>0</v>
      </c>
      <c r="P85" s="16"/>
      <c r="Q85" s="38">
        <f>+Q84-530</f>
        <v>4418</v>
      </c>
      <c r="R85" s="18"/>
      <c r="S85" s="18"/>
      <c r="Y85" s="20"/>
    </row>
    <row r="86" spans="1:25" s="19" customFormat="1" ht="15">
      <c r="A86" s="25"/>
      <c r="B86" s="25"/>
      <c r="C86" s="15" t="s">
        <v>16</v>
      </c>
      <c r="D86" s="16">
        <v>0</v>
      </c>
      <c r="E86" s="16">
        <v>0</v>
      </c>
      <c r="F86" s="16">
        <v>0</v>
      </c>
      <c r="G86" s="62"/>
      <c r="H86" s="15" t="s">
        <v>16</v>
      </c>
      <c r="I86" s="16">
        <v>0</v>
      </c>
      <c r="J86" s="16">
        <v>0</v>
      </c>
      <c r="K86" s="16">
        <v>0</v>
      </c>
      <c r="L86" s="62"/>
      <c r="M86" s="15" t="s">
        <v>16</v>
      </c>
      <c r="N86" s="16">
        <v>0</v>
      </c>
      <c r="O86" s="16">
        <v>0</v>
      </c>
      <c r="P86" s="16"/>
      <c r="Q86" s="38"/>
      <c r="R86" s="18"/>
      <c r="S86" s="18"/>
      <c r="Y86" s="20"/>
    </row>
    <row r="87" spans="1:25" s="19" customFormat="1" ht="15">
      <c r="A87" s="25"/>
      <c r="B87" s="25"/>
      <c r="C87" s="15" t="s">
        <v>17</v>
      </c>
      <c r="D87" s="16">
        <f>+D85+D86</f>
        <v>0</v>
      </c>
      <c r="E87" s="16">
        <f>+E85+E86</f>
        <v>0</v>
      </c>
      <c r="F87" s="16">
        <f>+F85+F86</f>
        <v>0</v>
      </c>
      <c r="G87" s="62"/>
      <c r="H87" s="15" t="s">
        <v>17</v>
      </c>
      <c r="I87" s="16">
        <f>+I85+I86</f>
        <v>0</v>
      </c>
      <c r="J87" s="16">
        <f>J85+J86</f>
        <v>0</v>
      </c>
      <c r="K87" s="16">
        <f>K85+K86</f>
        <v>0</v>
      </c>
      <c r="L87" s="62"/>
      <c r="M87" s="15" t="s">
        <v>17</v>
      </c>
      <c r="N87" s="16">
        <f>+N85+N86</f>
        <v>0</v>
      </c>
      <c r="O87" s="16">
        <f>+O85+O86</f>
        <v>0</v>
      </c>
      <c r="P87" s="16"/>
      <c r="Q87" s="38"/>
      <c r="R87" s="18"/>
      <c r="S87" s="18"/>
      <c r="Y87" s="20"/>
    </row>
    <row r="88" spans="1:25" s="19" customFormat="1" ht="15">
      <c r="A88" s="25"/>
      <c r="B88" s="25"/>
      <c r="C88" s="15" t="s">
        <v>18</v>
      </c>
      <c r="D88" s="16">
        <f>+D74</f>
        <v>1155</v>
      </c>
      <c r="E88" s="16">
        <f>+E74</f>
        <v>1155</v>
      </c>
      <c r="F88" s="16">
        <f>+F74</f>
        <v>1155</v>
      </c>
      <c r="G88" s="62"/>
      <c r="H88" s="15" t="s">
        <v>18</v>
      </c>
      <c r="I88" s="16">
        <f>+I74</f>
        <v>1155</v>
      </c>
      <c r="J88" s="16">
        <f>J80*0.11</f>
        <v>1424.5</v>
      </c>
      <c r="K88" s="16">
        <f>K80*0.11</f>
        <v>1424.5</v>
      </c>
      <c r="L88" s="62"/>
      <c r="M88" s="15" t="s">
        <v>18</v>
      </c>
      <c r="N88" s="16">
        <f>+N74</f>
        <v>1540</v>
      </c>
      <c r="O88" s="16">
        <f>0.11*O80</f>
        <v>1540</v>
      </c>
      <c r="P88" s="16"/>
      <c r="Q88" s="28">
        <v>0</v>
      </c>
      <c r="R88" s="18"/>
      <c r="S88" s="18"/>
      <c r="Y88" s="20"/>
    </row>
    <row r="89" spans="1:25" s="19" customFormat="1" ht="15">
      <c r="A89" s="25"/>
      <c r="B89" s="25"/>
      <c r="C89" s="15" t="s">
        <v>19</v>
      </c>
      <c r="D89" s="16">
        <f>+D80-D87-D88</f>
        <v>9345</v>
      </c>
      <c r="E89" s="16">
        <f>+E80-E87-E88</f>
        <v>9345</v>
      </c>
      <c r="F89" s="16">
        <f>+F80-F87-F88</f>
        <v>9345</v>
      </c>
      <c r="G89" s="62"/>
      <c r="H89" s="15" t="s">
        <v>19</v>
      </c>
      <c r="I89" s="16">
        <f>+I80-I87-I88</f>
        <v>9345</v>
      </c>
      <c r="J89" s="16">
        <f>J80-J87-J88</f>
        <v>11525.5</v>
      </c>
      <c r="K89" s="16">
        <f>K80-K87-K88</f>
        <v>11525.5</v>
      </c>
      <c r="L89" s="62"/>
      <c r="M89" s="15" t="s">
        <v>19</v>
      </c>
      <c r="N89" s="16">
        <f>+N80-N87-N88</f>
        <v>12460</v>
      </c>
      <c r="O89" s="16">
        <f>+O80-O87-O88-O86</f>
        <v>12460</v>
      </c>
      <c r="P89" s="16"/>
      <c r="Q89" s="28"/>
      <c r="R89" s="18"/>
      <c r="S89" s="18"/>
      <c r="Y89" s="20">
        <v>80146.37</v>
      </c>
    </row>
    <row r="90" spans="1:25" s="19" customFormat="1" ht="15">
      <c r="A90" s="25"/>
      <c r="B90" s="25"/>
      <c r="C90" s="40"/>
      <c r="D90" s="41"/>
      <c r="E90" s="41"/>
      <c r="F90" s="41"/>
      <c r="G90" s="62"/>
      <c r="H90" s="40"/>
      <c r="I90" s="41"/>
      <c r="J90" s="41"/>
      <c r="K90" s="41"/>
      <c r="L90" s="62"/>
      <c r="M90" s="26"/>
      <c r="N90" s="27"/>
      <c r="O90" s="27"/>
      <c r="P90" s="41"/>
      <c r="Q90" s="28"/>
      <c r="R90" s="18"/>
      <c r="S90" s="18"/>
      <c r="Y90" s="20"/>
    </row>
    <row r="91" spans="1:25" s="19" customFormat="1" ht="15">
      <c r="A91" s="25"/>
      <c r="B91" s="25"/>
      <c r="C91" s="58" t="s">
        <v>20</v>
      </c>
      <c r="D91" s="30"/>
      <c r="E91" s="31"/>
      <c r="F91" s="31">
        <f>+F89-E89</f>
        <v>0</v>
      </c>
      <c r="G91" s="64"/>
      <c r="H91" s="58" t="s">
        <v>20</v>
      </c>
      <c r="I91" s="30"/>
      <c r="J91" s="31"/>
      <c r="K91" s="31">
        <f>+K89-J89</f>
        <v>0</v>
      </c>
      <c r="L91" s="64"/>
      <c r="M91" s="35" t="s">
        <v>20</v>
      </c>
      <c r="N91" s="31"/>
      <c r="O91" s="31"/>
      <c r="P91" s="31">
        <f>+P89-O89</f>
        <v>-12460</v>
      </c>
      <c r="Q91" s="28"/>
      <c r="R91" s="18"/>
      <c r="S91" s="18"/>
      <c r="Y91" s="20"/>
    </row>
    <row r="92" spans="1:25" s="19" customFormat="1" ht="15">
      <c r="A92" s="25"/>
      <c r="B92" s="25"/>
      <c r="C92" s="36"/>
      <c r="D92" s="43"/>
      <c r="E92" s="43"/>
      <c r="F92" s="43"/>
      <c r="G92" s="62"/>
      <c r="H92" s="36"/>
      <c r="I92" s="43"/>
      <c r="J92" s="43"/>
      <c r="K92" s="43"/>
      <c r="L92" s="62"/>
      <c r="M92" s="36"/>
      <c r="N92" s="37"/>
      <c r="O92" s="37"/>
      <c r="P92" s="43"/>
      <c r="Q92" s="28"/>
      <c r="R92" s="18"/>
      <c r="S92" s="18"/>
      <c r="Y92" s="20"/>
    </row>
    <row r="93" spans="1:25" s="19" customFormat="1" ht="14.45" customHeight="1">
      <c r="A93" s="25"/>
      <c r="B93" s="103" t="s">
        <v>38</v>
      </c>
      <c r="C93" s="44" t="s">
        <v>39</v>
      </c>
      <c r="D93" s="45">
        <v>2016</v>
      </c>
      <c r="E93" s="45">
        <v>2017</v>
      </c>
      <c r="F93" s="45">
        <v>2018</v>
      </c>
      <c r="G93" s="65"/>
      <c r="H93" s="44" t="s">
        <v>40</v>
      </c>
      <c r="I93" s="45">
        <v>2016</v>
      </c>
      <c r="J93" s="45">
        <v>2017</v>
      </c>
      <c r="K93" s="45">
        <v>2018</v>
      </c>
      <c r="L93" s="65"/>
      <c r="M93" s="44" t="s">
        <v>41</v>
      </c>
      <c r="N93" s="45">
        <v>2016</v>
      </c>
      <c r="O93" s="45">
        <v>2017</v>
      </c>
      <c r="P93" s="45">
        <v>2018</v>
      </c>
      <c r="Q93" s="28"/>
      <c r="R93" s="18"/>
      <c r="S93" s="18"/>
      <c r="Y93" s="20"/>
    </row>
    <row r="94" spans="1:25" s="19" customFormat="1" ht="15">
      <c r="A94" s="25"/>
      <c r="B94" s="103"/>
      <c r="C94" s="15" t="s">
        <v>8</v>
      </c>
      <c r="D94" s="16">
        <f>+D80</f>
        <v>10500</v>
      </c>
      <c r="E94" s="16">
        <f>+E80</f>
        <v>10500</v>
      </c>
      <c r="F94" s="16">
        <f>+F80</f>
        <v>10500</v>
      </c>
      <c r="G94" s="62"/>
      <c r="H94" s="15" t="s">
        <v>8</v>
      </c>
      <c r="I94" s="16">
        <f>+I80</f>
        <v>10500</v>
      </c>
      <c r="J94" s="16">
        <f>925*14</f>
        <v>12950</v>
      </c>
      <c r="K94" s="16">
        <f>925*14</f>
        <v>12950</v>
      </c>
      <c r="L94" s="62"/>
      <c r="M94" s="15" t="s">
        <v>8</v>
      </c>
      <c r="N94" s="16">
        <f>1000*14</f>
        <v>14000</v>
      </c>
      <c r="O94" s="16">
        <f>1000*14</f>
        <v>14000</v>
      </c>
      <c r="P94" s="16">
        <f>1000*14</f>
        <v>14000</v>
      </c>
      <c r="Q94" s="28"/>
      <c r="R94" s="18"/>
      <c r="S94" s="18"/>
      <c r="Y94" s="20"/>
    </row>
    <row r="95" spans="1:25" s="19" customFormat="1" ht="15">
      <c r="A95" s="25"/>
      <c r="B95" s="103"/>
      <c r="C95" s="15" t="s">
        <v>10</v>
      </c>
      <c r="D95" s="16">
        <v>-4104</v>
      </c>
      <c r="E95" s="16">
        <f>-MAX(4104,E94*11%)</f>
        <v>-4104</v>
      </c>
      <c r="F95" s="16">
        <f>-MAX(4104,F94*11%)</f>
        <v>-4104</v>
      </c>
      <c r="G95" s="62"/>
      <c r="H95" s="15" t="s">
        <v>10</v>
      </c>
      <c r="I95" s="16">
        <v>-4104</v>
      </c>
      <c r="J95" s="16">
        <f>-MAX(4104,J94*11%)</f>
        <v>-4104</v>
      </c>
      <c r="K95" s="16">
        <f>-MAX(4104,K94*11%)</f>
        <v>-4104</v>
      </c>
      <c r="L95" s="62"/>
      <c r="M95" s="15" t="s">
        <v>10</v>
      </c>
      <c r="N95" s="16">
        <v>-4104</v>
      </c>
      <c r="O95" s="16">
        <f>-MAX(4104,O79*0.11)</f>
        <v>-4104</v>
      </c>
      <c r="P95" s="16">
        <v>-4104</v>
      </c>
      <c r="Q95" s="77"/>
      <c r="R95" s="18"/>
      <c r="S95" s="18"/>
      <c r="Y95" s="20"/>
    </row>
    <row r="96" spans="1:25" s="19" customFormat="1" ht="15">
      <c r="A96" s="25"/>
      <c r="B96" s="14"/>
      <c r="C96" s="15" t="s">
        <v>11</v>
      </c>
      <c r="D96" s="16">
        <f>+D94+D95</f>
        <v>6396</v>
      </c>
      <c r="E96" s="16">
        <f>+E94+E95</f>
        <v>6396</v>
      </c>
      <c r="F96" s="16">
        <f>+F94+F95</f>
        <v>6396</v>
      </c>
      <c r="G96" s="62"/>
      <c r="H96" s="15" t="s">
        <v>11</v>
      </c>
      <c r="I96" s="16">
        <f>+I94+I95</f>
        <v>6396</v>
      </c>
      <c r="J96" s="16">
        <f>+J94+J95</f>
        <v>8846</v>
      </c>
      <c r="K96" s="16">
        <f>+K94+K95</f>
        <v>8846</v>
      </c>
      <c r="L96" s="62"/>
      <c r="M96" s="15" t="s">
        <v>11</v>
      </c>
      <c r="N96" s="16">
        <f>+N94+N95</f>
        <v>9896</v>
      </c>
      <c r="O96" s="16">
        <f>SUM(O94:O95)</f>
        <v>9896</v>
      </c>
      <c r="P96" s="16">
        <f>+P94+P95</f>
        <v>9896</v>
      </c>
      <c r="Q96" s="78"/>
      <c r="R96" s="18"/>
      <c r="S96" s="18"/>
      <c r="Y96" s="20"/>
    </row>
    <row r="97" spans="1:25" s="19" customFormat="1" ht="15">
      <c r="A97" s="25"/>
      <c r="B97" s="14"/>
      <c r="C97" s="15" t="s">
        <v>13</v>
      </c>
      <c r="D97" s="16">
        <f>0.145*D96</f>
        <v>927.42</v>
      </c>
      <c r="E97" s="16">
        <f>0.145*E96</f>
        <v>927.42</v>
      </c>
      <c r="F97" s="16">
        <f>0.145*F96</f>
        <v>927.42</v>
      </c>
      <c r="G97" s="63"/>
      <c r="H97" s="15" t="s">
        <v>13</v>
      </c>
      <c r="I97" s="16">
        <f>0.145*I96</f>
        <v>927.42</v>
      </c>
      <c r="J97" s="16">
        <f>((J96/2)*0.145-0)*2</f>
        <v>1282.6699999999998</v>
      </c>
      <c r="K97" s="16">
        <f>((K96/2)*0.145-0)*2</f>
        <v>1282.6699999999998</v>
      </c>
      <c r="L97" s="63"/>
      <c r="M97" s="15" t="s">
        <v>13</v>
      </c>
      <c r="N97" s="16">
        <f>1835.46</f>
        <v>1835.46</v>
      </c>
      <c r="O97" s="16">
        <f>((O96)*0.285-992.74)</f>
        <v>1827.6199999999997</v>
      </c>
      <c r="P97" s="16">
        <f>((P96/2)*0.145-0)*2</f>
        <v>1434.9199999999998</v>
      </c>
      <c r="Q97" s="46"/>
      <c r="R97" s="18"/>
      <c r="S97" s="18"/>
      <c r="Y97" s="20"/>
    </row>
    <row r="98" spans="1:25" s="19" customFormat="1" ht="15">
      <c r="A98" s="25"/>
      <c r="B98" s="14"/>
      <c r="C98" s="15" t="s">
        <v>14</v>
      </c>
      <c r="D98" s="16">
        <v>-725</v>
      </c>
      <c r="E98" s="16">
        <f>-(+MIN((0.075*1000)+MIN(0.075*6000,400)+250,E97))</f>
        <v>-725</v>
      </c>
      <c r="F98" s="16">
        <f>-(+MIN((0.075*1000)+MIN(0.075*6000,400)+250,F97))</f>
        <v>-725</v>
      </c>
      <c r="G98" s="62"/>
      <c r="H98" s="15" t="s">
        <v>14</v>
      </c>
      <c r="I98" s="16">
        <v>-725</v>
      </c>
      <c r="J98" s="16">
        <f>-MIN(J97,0.15*1000+250*2+MIN(6000*0.15,800)+600)</f>
        <v>-1282.6699999999998</v>
      </c>
      <c r="K98" s="16">
        <f>-MIN(K97,0.15*1000+250*2+MIN(6000*0.15,800)+600)</f>
        <v>-1282.6699999999998</v>
      </c>
      <c r="L98" s="62"/>
      <c r="M98" s="15" t="s">
        <v>14</v>
      </c>
      <c r="N98" s="16">
        <v>-706.44</v>
      </c>
      <c r="O98" s="16">
        <f>-MIN(O97,7.5%*1000+250+MIN(6000*7.5%,(502+(298*(30000-(O96))/22909))/2))</f>
        <v>-706.75629665197084</v>
      </c>
      <c r="P98" s="16">
        <f>-MIN(P97,0.15*1000+250*2+MIN(6000*0.15,800)+600)</f>
        <v>-1434.9199999999998</v>
      </c>
      <c r="Q98" s="38"/>
      <c r="R98" s="18"/>
      <c r="S98" s="18"/>
      <c r="Y98" s="20"/>
    </row>
    <row r="99" spans="1:25" s="19" customFormat="1" ht="15">
      <c r="A99" s="25"/>
      <c r="B99" s="14"/>
      <c r="C99" s="15" t="s">
        <v>15</v>
      </c>
      <c r="D99" s="16">
        <f>+D97+D98</f>
        <v>202.41999999999996</v>
      </c>
      <c r="E99" s="79">
        <f>+E97+E98</f>
        <v>202.41999999999996</v>
      </c>
      <c r="F99" s="79">
        <f>+F97+F98</f>
        <v>202.41999999999996</v>
      </c>
      <c r="G99" s="62"/>
      <c r="H99" s="15" t="s">
        <v>15</v>
      </c>
      <c r="I99" s="16">
        <f>+I97+I98</f>
        <v>202.41999999999996</v>
      </c>
      <c r="J99" s="16">
        <f>+J97+J98</f>
        <v>0</v>
      </c>
      <c r="K99" s="16">
        <f>+K97+K98</f>
        <v>0</v>
      </c>
      <c r="L99" s="62"/>
      <c r="M99" s="15" t="s">
        <v>15</v>
      </c>
      <c r="N99" s="16">
        <f>+N97+N98</f>
        <v>1129.02</v>
      </c>
      <c r="O99" s="16">
        <f>+O97+O98</f>
        <v>1120.8637033480288</v>
      </c>
      <c r="P99" s="16">
        <f>+P97+P98</f>
        <v>0</v>
      </c>
      <c r="Q99" s="28">
        <f>+Q98*Q97</f>
        <v>0</v>
      </c>
      <c r="R99" s="18"/>
      <c r="S99" s="18"/>
      <c r="Y99" s="20"/>
    </row>
    <row r="100" spans="1:25" s="19" customFormat="1" ht="15">
      <c r="A100" s="25"/>
      <c r="B100" s="14"/>
      <c r="C100" s="15" t="s">
        <v>16</v>
      </c>
      <c r="D100" s="16">
        <v>0</v>
      </c>
      <c r="E100" s="79">
        <v>0</v>
      </c>
      <c r="F100" s="79">
        <v>0</v>
      </c>
      <c r="G100" s="62"/>
      <c r="H100" s="15" t="s">
        <v>16</v>
      </c>
      <c r="I100" s="16">
        <v>0</v>
      </c>
      <c r="J100" s="16">
        <v>0</v>
      </c>
      <c r="K100" s="16">
        <v>0</v>
      </c>
      <c r="L100" s="62"/>
      <c r="M100" s="15" t="s">
        <v>16</v>
      </c>
      <c r="N100" s="16">
        <v>24.76</v>
      </c>
      <c r="O100" s="16">
        <v>0</v>
      </c>
      <c r="P100" s="16">
        <v>0</v>
      </c>
      <c r="Q100" s="28"/>
      <c r="R100" s="18"/>
      <c r="S100" s="18"/>
      <c r="Y100" s="20"/>
    </row>
    <row r="101" spans="1:25" s="19" customFormat="1" ht="15">
      <c r="A101" s="25"/>
      <c r="B101" s="14"/>
      <c r="C101" s="15" t="s">
        <v>17</v>
      </c>
      <c r="D101" s="16">
        <f>+D99+D100</f>
        <v>202.41999999999996</v>
      </c>
      <c r="E101" s="79">
        <f>+E99+E100</f>
        <v>202.41999999999996</v>
      </c>
      <c r="F101" s="79">
        <f>+F99+F100</f>
        <v>202.41999999999996</v>
      </c>
      <c r="G101" s="62"/>
      <c r="H101" s="15" t="s">
        <v>17</v>
      </c>
      <c r="I101" s="16">
        <f>+I99+I100</f>
        <v>202.41999999999996</v>
      </c>
      <c r="J101" s="16">
        <f>+J99+J100</f>
        <v>0</v>
      </c>
      <c r="K101" s="16">
        <f>+K99+K100</f>
        <v>0</v>
      </c>
      <c r="L101" s="62"/>
      <c r="M101" s="15" t="s">
        <v>17</v>
      </c>
      <c r="N101" s="16">
        <f>+N99+N100</f>
        <v>1153.78</v>
      </c>
      <c r="O101" s="16">
        <f>+O99+O100</f>
        <v>1120.8637033480288</v>
      </c>
      <c r="P101" s="16">
        <f>+P99+P100</f>
        <v>0</v>
      </c>
      <c r="Q101" s="28"/>
      <c r="R101" s="18"/>
      <c r="S101" s="18"/>
      <c r="Y101" s="20"/>
    </row>
    <row r="102" spans="1:25" s="19" customFormat="1" ht="15">
      <c r="A102" s="25"/>
      <c r="B102" s="14"/>
      <c r="C102" s="15" t="s">
        <v>18</v>
      </c>
      <c r="D102" s="16">
        <f>+D88</f>
        <v>1155</v>
      </c>
      <c r="E102" s="79">
        <f>+E88</f>
        <v>1155</v>
      </c>
      <c r="F102" s="79">
        <f>+F88</f>
        <v>1155</v>
      </c>
      <c r="G102" s="62"/>
      <c r="H102" s="15" t="s">
        <v>18</v>
      </c>
      <c r="I102" s="16">
        <f>+I88</f>
        <v>1155</v>
      </c>
      <c r="J102" s="16">
        <f>0.11*J94</f>
        <v>1424.5</v>
      </c>
      <c r="K102" s="16">
        <f>0.11*K94</f>
        <v>1424.5</v>
      </c>
      <c r="L102" s="62"/>
      <c r="M102" s="15" t="s">
        <v>18</v>
      </c>
      <c r="N102" s="16">
        <f>0.11*N94</f>
        <v>1540</v>
      </c>
      <c r="O102" s="16">
        <f>0.11*O94</f>
        <v>1540</v>
      </c>
      <c r="P102" s="16">
        <f>0.11*P94</f>
        <v>1540</v>
      </c>
      <c r="Q102" s="28">
        <f>+Q99+Q96</f>
        <v>0</v>
      </c>
      <c r="R102" s="18"/>
      <c r="S102" s="18"/>
      <c r="Y102" s="20"/>
    </row>
    <row r="103" spans="1:25" s="19" customFormat="1" ht="15">
      <c r="A103" s="25"/>
      <c r="B103" s="23"/>
      <c r="C103" s="15" t="s">
        <v>19</v>
      </c>
      <c r="D103" s="16">
        <f>+D94-D101-D102</f>
        <v>9142.58</v>
      </c>
      <c r="E103" s="79">
        <f>+E94-E101-E102</f>
        <v>9142.58</v>
      </c>
      <c r="F103" s="79">
        <f>+F94-F101-F102</f>
        <v>9142.58</v>
      </c>
      <c r="G103" s="62"/>
      <c r="H103" s="15" t="s">
        <v>19</v>
      </c>
      <c r="I103" s="16">
        <f>+I94-I101-I102</f>
        <v>9142.58</v>
      </c>
      <c r="J103" s="16">
        <f>+J94-J101-J102-J100</f>
        <v>11525.5</v>
      </c>
      <c r="K103" s="16">
        <f>+K94-K101-K102-K100</f>
        <v>11525.5</v>
      </c>
      <c r="L103" s="62"/>
      <c r="M103" s="15" t="s">
        <v>19</v>
      </c>
      <c r="N103" s="16">
        <f>+N94-N101-N102</f>
        <v>11306.22</v>
      </c>
      <c r="O103" s="16">
        <f>+O94-O101-O102-O100</f>
        <v>11339.136296651972</v>
      </c>
      <c r="P103" s="16">
        <f>+P94-P101-P102-P100</f>
        <v>12460</v>
      </c>
      <c r="Q103" s="38">
        <f>0.075*1000+MIN(0.075*6000,(Q17/2))+250</f>
        <v>706.43744829087746</v>
      </c>
      <c r="R103" s="18"/>
      <c r="S103" s="18"/>
      <c r="Y103" s="20">
        <v>68817.040000000008</v>
      </c>
    </row>
    <row r="104" spans="1:25" s="19" customFormat="1" ht="15">
      <c r="A104" s="25"/>
      <c r="B104" s="25"/>
      <c r="C104" s="40"/>
      <c r="D104" s="41"/>
      <c r="E104" s="41"/>
      <c r="F104" s="41"/>
      <c r="G104" s="62"/>
      <c r="H104" s="40"/>
      <c r="I104" s="41"/>
      <c r="J104" s="41"/>
      <c r="K104" s="41"/>
      <c r="L104" s="62"/>
      <c r="M104" s="40"/>
      <c r="N104" s="41"/>
      <c r="O104" s="41"/>
      <c r="P104" s="41"/>
      <c r="Q104" s="28"/>
      <c r="R104" s="18"/>
      <c r="S104" s="18"/>
      <c r="Y104" s="20"/>
    </row>
    <row r="105" spans="1:25" s="19" customFormat="1" ht="15">
      <c r="A105" s="25"/>
      <c r="B105" s="25"/>
      <c r="C105" s="29" t="s">
        <v>20</v>
      </c>
      <c r="D105" s="30"/>
      <c r="E105" s="31"/>
      <c r="F105" s="31">
        <f>+F103-E103</f>
        <v>0</v>
      </c>
      <c r="G105" s="64"/>
      <c r="H105" s="29" t="s">
        <v>20</v>
      </c>
      <c r="I105" s="30"/>
      <c r="J105" s="31"/>
      <c r="K105" s="31">
        <f>+K103-J103</f>
        <v>0</v>
      </c>
      <c r="L105" s="64"/>
      <c r="M105" s="29" t="s">
        <v>20</v>
      </c>
      <c r="N105" s="47"/>
      <c r="O105" s="42"/>
      <c r="P105" s="31">
        <f>+P103-O103</f>
        <v>1120.8637033480281</v>
      </c>
      <c r="Q105" s="28"/>
      <c r="R105" s="18"/>
      <c r="S105" s="18"/>
      <c r="Y105" s="20"/>
    </row>
    <row r="106" spans="1:25" s="19" customFormat="1" ht="15">
      <c r="A106" s="25"/>
      <c r="B106" s="10"/>
      <c r="C106" s="29"/>
      <c r="D106" s="48"/>
      <c r="E106" s="49"/>
      <c r="F106" s="49"/>
      <c r="G106" s="62"/>
      <c r="H106" s="29"/>
      <c r="I106" s="48"/>
      <c r="J106" s="49"/>
      <c r="K106" s="49"/>
      <c r="L106" s="62"/>
      <c r="M106" s="29"/>
      <c r="N106" s="48"/>
      <c r="O106" s="49"/>
      <c r="P106" s="49"/>
      <c r="Q106" s="28"/>
      <c r="R106" s="18"/>
      <c r="S106" s="18"/>
      <c r="Y106" s="20"/>
    </row>
    <row r="107" spans="1:25" s="19" customFormat="1" ht="15">
      <c r="A107" s="25"/>
      <c r="B107" s="10"/>
      <c r="C107" s="44" t="s">
        <v>42</v>
      </c>
      <c r="D107" s="45">
        <v>2016</v>
      </c>
      <c r="E107" s="45">
        <v>2017</v>
      </c>
      <c r="F107" s="45">
        <v>2018</v>
      </c>
      <c r="G107" s="65"/>
      <c r="H107" s="44" t="s">
        <v>43</v>
      </c>
      <c r="I107" s="45">
        <v>2016</v>
      </c>
      <c r="J107" s="45">
        <v>2017</v>
      </c>
      <c r="K107" s="45">
        <v>2018</v>
      </c>
      <c r="L107" s="65"/>
      <c r="M107" s="44" t="s">
        <v>44</v>
      </c>
      <c r="N107" s="45">
        <v>2016</v>
      </c>
      <c r="O107" s="45">
        <v>2017</v>
      </c>
      <c r="P107" s="45">
        <v>2018</v>
      </c>
      <c r="Q107" s="28"/>
      <c r="R107" s="18"/>
      <c r="S107" s="18"/>
      <c r="Y107" s="20"/>
    </row>
    <row r="108" spans="1:25" s="19" customFormat="1" ht="15">
      <c r="A108" s="25"/>
      <c r="B108" s="14"/>
      <c r="C108" s="15" t="s">
        <v>8</v>
      </c>
      <c r="D108" s="16">
        <f>+D94</f>
        <v>10500</v>
      </c>
      <c r="E108" s="16">
        <f>+E94</f>
        <v>10500</v>
      </c>
      <c r="F108" s="16">
        <f>+F94</f>
        <v>10500</v>
      </c>
      <c r="G108" s="62"/>
      <c r="H108" s="15" t="s">
        <v>8</v>
      </c>
      <c r="I108" s="16">
        <f>+I94</f>
        <v>10500</v>
      </c>
      <c r="J108" s="16">
        <f>925*14</f>
        <v>12950</v>
      </c>
      <c r="K108" s="16">
        <f>925*14</f>
        <v>12950</v>
      </c>
      <c r="L108" s="62"/>
      <c r="M108" s="15" t="s">
        <v>8</v>
      </c>
      <c r="N108" s="16">
        <f>+N94</f>
        <v>14000</v>
      </c>
      <c r="O108" s="16">
        <f>1000*14</f>
        <v>14000</v>
      </c>
      <c r="P108" s="16">
        <f>1000*14</f>
        <v>14000</v>
      </c>
      <c r="Q108" s="28"/>
      <c r="R108" s="18"/>
      <c r="S108" s="18"/>
      <c r="Y108" s="20"/>
    </row>
    <row r="109" spans="1:25" s="19" customFormat="1" ht="15">
      <c r="A109" s="25"/>
      <c r="B109" s="14"/>
      <c r="C109" s="15" t="s">
        <v>10</v>
      </c>
      <c r="D109" s="16">
        <v>-4104</v>
      </c>
      <c r="E109" s="16">
        <f>-MAX(4104,E108*11%)</f>
        <v>-4104</v>
      </c>
      <c r="F109" s="16">
        <f>-MAX(4104,F108*11%)</f>
        <v>-4104</v>
      </c>
      <c r="G109" s="62"/>
      <c r="H109" s="15" t="s">
        <v>10</v>
      </c>
      <c r="I109" s="16">
        <v>-4104</v>
      </c>
      <c r="J109" s="16">
        <f>-MAX(4104,J1080*0.11)</f>
        <v>-4104</v>
      </c>
      <c r="K109" s="16">
        <f>-MAX(4104,K1080*0.11)</f>
        <v>-4104</v>
      </c>
      <c r="L109" s="62"/>
      <c r="M109" s="15" t="s">
        <v>10</v>
      </c>
      <c r="N109" s="16">
        <f>+N95</f>
        <v>-4104</v>
      </c>
      <c r="O109" s="16">
        <f>-MAX(4104,O93*0.11)</f>
        <v>-4104</v>
      </c>
      <c r="P109" s="16">
        <f>-MAX(4104,P1080*0.11)</f>
        <v>-4104</v>
      </c>
      <c r="Q109" s="77"/>
      <c r="R109" s="18"/>
      <c r="S109" s="18"/>
      <c r="Y109" s="20"/>
    </row>
    <row r="110" spans="1:25" s="19" customFormat="1" ht="15">
      <c r="A110" s="25"/>
      <c r="B110" s="14"/>
      <c r="C110" s="15" t="s">
        <v>11</v>
      </c>
      <c r="D110" s="16">
        <f>+D108+D109</f>
        <v>6396</v>
      </c>
      <c r="E110" s="16">
        <f>+E108+E109</f>
        <v>6396</v>
      </c>
      <c r="F110" s="16">
        <f>F108+F109</f>
        <v>6396</v>
      </c>
      <c r="G110" s="62"/>
      <c r="H110" s="15" t="s">
        <v>11</v>
      </c>
      <c r="I110" s="16">
        <f>+I108+I109</f>
        <v>6396</v>
      </c>
      <c r="J110" s="16">
        <f>+J108+J109</f>
        <v>8846</v>
      </c>
      <c r="K110" s="16">
        <f>+K108+K109</f>
        <v>8846</v>
      </c>
      <c r="L110" s="62"/>
      <c r="M110" s="15" t="s">
        <v>11</v>
      </c>
      <c r="N110" s="16">
        <f>+N108+N109</f>
        <v>9896</v>
      </c>
      <c r="O110" s="16">
        <f>SUM(O108:O109)</f>
        <v>9896</v>
      </c>
      <c r="P110" s="16">
        <f>+P108+P109</f>
        <v>9896</v>
      </c>
      <c r="Q110" s="78"/>
      <c r="R110" s="18"/>
      <c r="S110" s="18"/>
      <c r="Y110" s="20"/>
    </row>
    <row r="111" spans="1:25" s="19" customFormat="1" ht="15">
      <c r="A111" s="25"/>
      <c r="B111" s="14"/>
      <c r="C111" s="15" t="s">
        <v>13</v>
      </c>
      <c r="D111" s="16">
        <f>+D97</f>
        <v>927.42</v>
      </c>
      <c r="E111" s="16">
        <f>0.145*E110</f>
        <v>927.42</v>
      </c>
      <c r="F111" s="16">
        <f>0.145*F110</f>
        <v>927.42</v>
      </c>
      <c r="G111" s="63"/>
      <c r="H111" s="15" t="s">
        <v>13</v>
      </c>
      <c r="I111" s="16">
        <f>+I97</f>
        <v>927.42</v>
      </c>
      <c r="J111" s="16">
        <f>((J110/2)*0.145-0)*2</f>
        <v>1282.6699999999998</v>
      </c>
      <c r="K111" s="16">
        <f>((K110/2)*0.145-0)*2</f>
        <v>1282.6699999999998</v>
      </c>
      <c r="L111" s="63"/>
      <c r="M111" s="15" t="s">
        <v>13</v>
      </c>
      <c r="N111" s="16">
        <f>1835.46</f>
        <v>1835.46</v>
      </c>
      <c r="O111" s="16">
        <f>((O110)*0.285-992.74)</f>
        <v>1827.6199999999997</v>
      </c>
      <c r="P111" s="16"/>
      <c r="Q111" s="28"/>
      <c r="R111" s="18"/>
      <c r="S111" s="18"/>
      <c r="Y111" s="20"/>
    </row>
    <row r="112" spans="1:25" s="19" customFormat="1" ht="15">
      <c r="A112" s="25"/>
      <c r="B112" s="14"/>
      <c r="C112" s="15" t="s">
        <v>14</v>
      </c>
      <c r="D112" s="16">
        <f>-(+MIN((0.075*1000)+MIN(0.075*6000,400)+MIN(0.15*1100,400)+250+300,D111))</f>
        <v>-927.42</v>
      </c>
      <c r="E112" s="16">
        <f>-(+MIN((0.075*1000)+MIN(0.075*6000,400)+MIN(0.15*1100,400)+250+300,E111))</f>
        <v>-927.42</v>
      </c>
      <c r="F112" s="16">
        <f>-(+MIN((0.075*1000)+MIN(0.075*6000,400)+MIN(0.15*1100,400)+250+300,F111))</f>
        <v>-927.42</v>
      </c>
      <c r="G112" s="62"/>
      <c r="H112" s="15" t="s">
        <v>14</v>
      </c>
      <c r="I112" s="16">
        <f>-(+MIN((0.075*1000)+MIN(0.075*6000,400)+MIN(0.15*1100,400)+250+300,I111))</f>
        <v>-927.42</v>
      </c>
      <c r="J112" s="16">
        <f>-MIN(600+MIN(0.3*1100,800)+250*2+0.15*1000+MIN(0.15*6000,(800)),J111)</f>
        <v>-1282.6699999999998</v>
      </c>
      <c r="K112" s="16">
        <f>-MIN(600+MIN(0.3*1100,800)+500+0.15*1000+MIN(0.15*6000,(800)),K111)</f>
        <v>-1282.6699999999998</v>
      </c>
      <c r="L112" s="62"/>
      <c r="M112" s="15" t="s">
        <v>14</v>
      </c>
      <c r="N112" s="16">
        <v>-1171.44</v>
      </c>
      <c r="O112" s="16">
        <f>-MIN(O111,7.5%*1000+300+250+(MIN(1100*15%,400))+MIN(6000*7.5%,(502+(298*(30000-(O110))/22909))/2))</f>
        <v>-1171.7562966519708</v>
      </c>
      <c r="P112" s="16"/>
      <c r="Q112" s="28"/>
      <c r="R112" s="18"/>
      <c r="S112" s="18"/>
      <c r="Y112" s="20"/>
    </row>
    <row r="113" spans="1:25" s="19" customFormat="1" ht="15">
      <c r="A113" s="25"/>
      <c r="B113" s="14"/>
      <c r="C113" s="15" t="s">
        <v>15</v>
      </c>
      <c r="D113" s="16">
        <f>+D111+D112</f>
        <v>0</v>
      </c>
      <c r="E113" s="16">
        <f>+E111+E112</f>
        <v>0</v>
      </c>
      <c r="F113" s="16">
        <f>F111+F112</f>
        <v>0</v>
      </c>
      <c r="G113" s="62"/>
      <c r="H113" s="15" t="s">
        <v>15</v>
      </c>
      <c r="I113" s="16">
        <f>+I111+I112</f>
        <v>0</v>
      </c>
      <c r="J113" s="16">
        <f>+J111+J112</f>
        <v>0</v>
      </c>
      <c r="K113" s="16">
        <f>+K111+K112</f>
        <v>0</v>
      </c>
      <c r="L113" s="62"/>
      <c r="M113" s="15" t="s">
        <v>15</v>
      </c>
      <c r="N113" s="16">
        <f>+N111+N112</f>
        <v>664.02</v>
      </c>
      <c r="O113" s="16">
        <f>+O111+O112</f>
        <v>655.86370334802882</v>
      </c>
      <c r="P113" s="16"/>
      <c r="Q113" s="28"/>
      <c r="R113" s="18"/>
      <c r="S113" s="18"/>
      <c r="Y113" s="20"/>
    </row>
    <row r="114" spans="1:25" s="19" customFormat="1" ht="15">
      <c r="A114" s="25"/>
      <c r="B114" s="14"/>
      <c r="C114" s="15" t="s">
        <v>16</v>
      </c>
      <c r="D114" s="16">
        <v>0</v>
      </c>
      <c r="E114" s="16">
        <v>0</v>
      </c>
      <c r="F114" s="16">
        <f>0</f>
        <v>0</v>
      </c>
      <c r="G114" s="62"/>
      <c r="H114" s="15" t="s">
        <v>16</v>
      </c>
      <c r="I114" s="16">
        <v>0</v>
      </c>
      <c r="J114" s="16">
        <v>0</v>
      </c>
      <c r="K114" s="16">
        <v>0</v>
      </c>
      <c r="L114" s="62"/>
      <c r="M114" s="15" t="s">
        <v>16</v>
      </c>
      <c r="N114" s="16">
        <v>18.14</v>
      </c>
      <c r="O114" s="16">
        <v>0</v>
      </c>
      <c r="P114" s="16"/>
      <c r="Q114" s="28"/>
      <c r="R114" s="18"/>
      <c r="S114" s="18"/>
      <c r="Y114" s="20"/>
    </row>
    <row r="115" spans="1:25" s="19" customFormat="1" ht="15">
      <c r="A115" s="25"/>
      <c r="B115" s="14"/>
      <c r="C115" s="15" t="s">
        <v>17</v>
      </c>
      <c r="D115" s="16">
        <f>+D113+D114</f>
        <v>0</v>
      </c>
      <c r="E115" s="16">
        <f>+E113+E114</f>
        <v>0</v>
      </c>
      <c r="F115" s="16">
        <f>F113+F114</f>
        <v>0</v>
      </c>
      <c r="G115" s="62"/>
      <c r="H115" s="15" t="s">
        <v>17</v>
      </c>
      <c r="I115" s="16">
        <f>+I113+I114</f>
        <v>0</v>
      </c>
      <c r="J115" s="16">
        <f>+J113+J114</f>
        <v>0</v>
      </c>
      <c r="K115" s="16">
        <f>+K113+K114</f>
        <v>0</v>
      </c>
      <c r="L115" s="62"/>
      <c r="M115" s="15" t="s">
        <v>17</v>
      </c>
      <c r="N115" s="16">
        <f>+N113+N114</f>
        <v>682.16</v>
      </c>
      <c r="O115" s="16">
        <f>+O113+O114</f>
        <v>655.86370334802882</v>
      </c>
      <c r="P115" s="16"/>
      <c r="Q115" s="28"/>
      <c r="R115" s="18"/>
      <c r="S115" s="18"/>
      <c r="Y115" s="20"/>
    </row>
    <row r="116" spans="1:25" s="19" customFormat="1" ht="15">
      <c r="A116" s="25"/>
      <c r="B116" s="14"/>
      <c r="C116" s="15" t="s">
        <v>18</v>
      </c>
      <c r="D116" s="16">
        <f>+D102</f>
        <v>1155</v>
      </c>
      <c r="E116" s="16">
        <f>+E102</f>
        <v>1155</v>
      </c>
      <c r="F116" s="16">
        <f>F108*11%</f>
        <v>1155</v>
      </c>
      <c r="G116" s="62"/>
      <c r="H116" s="15" t="s">
        <v>18</v>
      </c>
      <c r="I116" s="16">
        <f>+I102</f>
        <v>1155</v>
      </c>
      <c r="J116" s="16">
        <f>J108*0.11</f>
        <v>1424.5</v>
      </c>
      <c r="K116" s="16">
        <f>K108*0.11</f>
        <v>1424.5</v>
      </c>
      <c r="L116" s="62"/>
      <c r="M116" s="15" t="s">
        <v>18</v>
      </c>
      <c r="N116" s="16">
        <f>+N102</f>
        <v>1540</v>
      </c>
      <c r="O116" s="16">
        <f>0.11*O108</f>
        <v>1540</v>
      </c>
      <c r="P116" s="16"/>
      <c r="Q116" s="28"/>
      <c r="R116" s="18"/>
      <c r="S116" s="18"/>
      <c r="Y116" s="20"/>
    </row>
    <row r="117" spans="1:25" s="19" customFormat="1" ht="15">
      <c r="A117" s="25"/>
      <c r="B117" s="23"/>
      <c r="C117" s="15" t="s">
        <v>19</v>
      </c>
      <c r="D117" s="16">
        <f>+D108-D115-D116</f>
        <v>9345</v>
      </c>
      <c r="E117" s="16">
        <f>+E108-E115-E116</f>
        <v>9345</v>
      </c>
      <c r="F117" s="16">
        <f>F108-F115-F116</f>
        <v>9345</v>
      </c>
      <c r="G117" s="62"/>
      <c r="H117" s="15" t="s">
        <v>19</v>
      </c>
      <c r="I117" s="16">
        <f>+I108-I115-I116</f>
        <v>9345</v>
      </c>
      <c r="J117" s="16">
        <f>+J108-J115-J116</f>
        <v>11525.5</v>
      </c>
      <c r="K117" s="16">
        <f>+K108-K115-K116</f>
        <v>11525.5</v>
      </c>
      <c r="L117" s="62"/>
      <c r="M117" s="15" t="s">
        <v>19</v>
      </c>
      <c r="N117" s="16">
        <f>+N108-N115-N116</f>
        <v>11777.84</v>
      </c>
      <c r="O117" s="16">
        <f>+O108-O115-O116</f>
        <v>11804.136296651972</v>
      </c>
      <c r="P117" s="16"/>
      <c r="Q117" s="28"/>
      <c r="R117" s="18"/>
      <c r="S117" s="18"/>
      <c r="Y117" s="20">
        <v>68932.72</v>
      </c>
    </row>
    <row r="118" spans="1:25" s="19" customFormat="1" ht="15">
      <c r="A118" s="25"/>
      <c r="B118" s="25"/>
      <c r="C118" s="40"/>
      <c r="D118" s="50"/>
      <c r="E118" s="41"/>
      <c r="F118" s="41"/>
      <c r="G118" s="62"/>
      <c r="H118" s="40"/>
      <c r="I118" s="50"/>
      <c r="J118" s="41"/>
      <c r="K118" s="41"/>
      <c r="L118" s="62"/>
      <c r="M118" s="40"/>
      <c r="N118" s="41"/>
      <c r="O118" s="41"/>
      <c r="P118" s="41"/>
      <c r="Q118" s="28"/>
      <c r="R118" s="18"/>
      <c r="S118" s="18"/>
      <c r="Y118" s="20"/>
    </row>
    <row r="119" spans="1:25" s="19" customFormat="1" ht="15">
      <c r="A119" s="25"/>
      <c r="B119" s="25"/>
      <c r="C119" s="58" t="s">
        <v>20</v>
      </c>
      <c r="D119" s="30"/>
      <c r="E119" s="31"/>
      <c r="F119" s="31">
        <f>+F117-E117</f>
        <v>0</v>
      </c>
      <c r="G119" s="64"/>
      <c r="H119" s="58" t="s">
        <v>20</v>
      </c>
      <c r="I119" s="30"/>
      <c r="J119" s="31"/>
      <c r="K119" s="31">
        <f>+K117-J117</f>
        <v>0</v>
      </c>
      <c r="L119" s="64"/>
      <c r="M119" s="35" t="s">
        <v>20</v>
      </c>
      <c r="N119" s="42"/>
      <c r="O119" s="42"/>
      <c r="P119" s="31">
        <f>+P117-O117</f>
        <v>-11804.136296651972</v>
      </c>
      <c r="Q119" s="28"/>
      <c r="R119" s="18"/>
      <c r="S119" s="18"/>
      <c r="Y119" s="20"/>
    </row>
    <row r="120" spans="1:25" s="19" customFormat="1" ht="15">
      <c r="A120" s="25"/>
      <c r="B120" s="25"/>
      <c r="C120" s="36"/>
      <c r="D120" s="43"/>
      <c r="E120" s="43"/>
      <c r="F120" s="43"/>
      <c r="G120" s="62"/>
      <c r="H120" s="36"/>
      <c r="I120" s="43"/>
      <c r="J120" s="43"/>
      <c r="K120" s="43"/>
      <c r="L120" s="62"/>
      <c r="M120" s="36"/>
      <c r="N120" s="43"/>
      <c r="O120" s="43"/>
      <c r="P120" s="43"/>
      <c r="Q120" s="28"/>
      <c r="R120" s="18"/>
      <c r="S120" s="18"/>
      <c r="Y120" s="20"/>
    </row>
    <row r="121" spans="1:25" s="19" customFormat="1" ht="15">
      <c r="A121" s="25"/>
      <c r="B121" s="25"/>
      <c r="C121" s="44" t="s">
        <v>45</v>
      </c>
      <c r="D121" s="45">
        <v>2016</v>
      </c>
      <c r="E121" s="45">
        <v>2017</v>
      </c>
      <c r="F121" s="45">
        <v>2018</v>
      </c>
      <c r="G121" s="65"/>
      <c r="H121" s="44" t="s">
        <v>46</v>
      </c>
      <c r="I121" s="45">
        <v>2016</v>
      </c>
      <c r="J121" s="45">
        <v>2017</v>
      </c>
      <c r="K121" s="45">
        <v>2018</v>
      </c>
      <c r="L121" s="65"/>
      <c r="M121" s="44" t="s">
        <v>47</v>
      </c>
      <c r="N121" s="45">
        <v>2016</v>
      </c>
      <c r="O121" s="45">
        <v>2017</v>
      </c>
      <c r="P121" s="45">
        <v>2018</v>
      </c>
      <c r="Q121" s="28"/>
      <c r="R121" s="18"/>
      <c r="S121" s="18"/>
      <c r="Y121" s="20"/>
    </row>
    <row r="122" spans="1:25" s="19" customFormat="1" ht="15">
      <c r="A122" s="25"/>
      <c r="B122" s="25"/>
      <c r="C122" s="15" t="s">
        <v>8</v>
      </c>
      <c r="D122" s="16">
        <f>+D108</f>
        <v>10500</v>
      </c>
      <c r="E122" s="16">
        <f>+E108</f>
        <v>10500</v>
      </c>
      <c r="F122" s="16">
        <f>+F108</f>
        <v>10500</v>
      </c>
      <c r="G122" s="62"/>
      <c r="H122" s="15" t="s">
        <v>8</v>
      </c>
      <c r="I122" s="16">
        <f>+I108</f>
        <v>10500</v>
      </c>
      <c r="J122" s="16">
        <f>925*14</f>
        <v>12950</v>
      </c>
      <c r="K122" s="16">
        <f>925*14</f>
        <v>12950</v>
      </c>
      <c r="L122" s="62"/>
      <c r="M122" s="15" t="s">
        <v>8</v>
      </c>
      <c r="N122" s="16">
        <f>+N108</f>
        <v>14000</v>
      </c>
      <c r="O122" s="16">
        <f>+O108</f>
        <v>14000</v>
      </c>
      <c r="P122" s="16"/>
      <c r="Q122" s="28"/>
      <c r="R122" s="18"/>
      <c r="S122" s="18"/>
      <c r="Y122" s="20"/>
    </row>
    <row r="123" spans="1:25" s="19" customFormat="1" ht="15">
      <c r="A123" s="25"/>
      <c r="B123" s="25"/>
      <c r="C123" s="15" t="s">
        <v>10</v>
      </c>
      <c r="D123" s="16">
        <v>-4104</v>
      </c>
      <c r="E123" s="16">
        <f>-MAX(4104,E122*11%)</f>
        <v>-4104</v>
      </c>
      <c r="F123" s="16">
        <f>-MAX(4104,F122*11%)</f>
        <v>-4104</v>
      </c>
      <c r="G123" s="62"/>
      <c r="H123" s="15" t="s">
        <v>10</v>
      </c>
      <c r="I123" s="16">
        <v>-4104</v>
      </c>
      <c r="J123" s="16">
        <f>-MAX(4104,J1094*0.11)</f>
        <v>-4104</v>
      </c>
      <c r="K123" s="16">
        <f>-MAX(4104,K1094*0.11)</f>
        <v>-4104</v>
      </c>
      <c r="L123" s="62"/>
      <c r="M123" s="15" t="s">
        <v>10</v>
      </c>
      <c r="N123" s="16">
        <f>+N109</f>
        <v>-4104</v>
      </c>
      <c r="O123" s="16">
        <f>-MAX(4104,O107*0.11)</f>
        <v>-4104</v>
      </c>
      <c r="P123" s="16"/>
      <c r="Q123" s="77"/>
      <c r="R123" s="18"/>
      <c r="S123" s="18"/>
      <c r="Y123" s="20"/>
    </row>
    <row r="124" spans="1:25" s="19" customFormat="1" ht="15">
      <c r="A124" s="25"/>
      <c r="B124" s="25"/>
      <c r="C124" s="15" t="s">
        <v>11</v>
      </c>
      <c r="D124" s="16">
        <f>+D122+D123</f>
        <v>6396</v>
      </c>
      <c r="E124" s="16">
        <f>+E122+E123</f>
        <v>6396</v>
      </c>
      <c r="F124" s="16">
        <f>F122+F123</f>
        <v>6396</v>
      </c>
      <c r="G124" s="62"/>
      <c r="H124" s="15" t="s">
        <v>11</v>
      </c>
      <c r="I124" s="16">
        <f>+I122+I123</f>
        <v>6396</v>
      </c>
      <c r="J124" s="16">
        <f>+J122+J123</f>
        <v>8846</v>
      </c>
      <c r="K124" s="16">
        <f>+K122+K123</f>
        <v>8846</v>
      </c>
      <c r="L124" s="62"/>
      <c r="M124" s="15" t="s">
        <v>11</v>
      </c>
      <c r="N124" s="16">
        <f>+N122+N123</f>
        <v>9896</v>
      </c>
      <c r="O124" s="16">
        <f>SUM(O122:O123)</f>
        <v>9896</v>
      </c>
      <c r="P124" s="16"/>
      <c r="Q124" s="78"/>
      <c r="R124" s="18"/>
      <c r="S124" s="18"/>
      <c r="Y124" s="20"/>
    </row>
    <row r="125" spans="1:25" s="19" customFormat="1" ht="15">
      <c r="A125" s="25"/>
      <c r="B125" s="25"/>
      <c r="C125" s="15" t="s">
        <v>13</v>
      </c>
      <c r="D125" s="16">
        <f>+D111</f>
        <v>927.42</v>
      </c>
      <c r="E125" s="16">
        <f>E124*14.5%</f>
        <v>927.42</v>
      </c>
      <c r="F125" s="16">
        <f>F124*14.5%</f>
        <v>927.42</v>
      </c>
      <c r="G125" s="63"/>
      <c r="H125" s="15" t="s">
        <v>13</v>
      </c>
      <c r="I125" s="16">
        <f>+I111</f>
        <v>927.42</v>
      </c>
      <c r="J125" s="16">
        <f>((J124/2)*0.145-0)*2</f>
        <v>1282.6699999999998</v>
      </c>
      <c r="K125" s="16">
        <f>((K124/2)*0.145-0)*2</f>
        <v>1282.6699999999998</v>
      </c>
      <c r="L125" s="63"/>
      <c r="M125" s="15" t="s">
        <v>13</v>
      </c>
      <c r="N125" s="16">
        <f>1835.46</f>
        <v>1835.46</v>
      </c>
      <c r="O125" s="16">
        <f>((O124)*0.285-992.74)</f>
        <v>1827.6199999999997</v>
      </c>
      <c r="P125" s="16"/>
      <c r="Q125" s="28"/>
      <c r="R125" s="18"/>
      <c r="S125" s="18"/>
      <c r="Y125" s="20"/>
    </row>
    <row r="126" spans="1:25" s="19" customFormat="1" ht="15">
      <c r="A126" s="25"/>
      <c r="B126" s="25"/>
      <c r="C126" s="15" t="s">
        <v>14</v>
      </c>
      <c r="D126" s="16">
        <f>-(+MIN((0.075*1000)+MIN(0.075*6000,400)+MIN(0.15*2200,400)+250+600,D125))</f>
        <v>-927.42</v>
      </c>
      <c r="E126" s="16">
        <f>-(+MIN((0.075*1000)+MIN(0.075*6000,400)+MIN(0.15*2200,400)+250+600,E125))</f>
        <v>-927.42</v>
      </c>
      <c r="F126" s="16">
        <f>-(+MIN((0.075*1000)+MIN(0.075*6000,400)+MIN(0.15*2200,400)+250+600,F125))</f>
        <v>-927.42</v>
      </c>
      <c r="G126" s="62"/>
      <c r="H126" s="15" t="s">
        <v>14</v>
      </c>
      <c r="I126" s="16">
        <f>-(+MIN((0.075*1000)+MIN(0.075*6000,400)+MIN(0.15*2200,400)+250+600,I125))</f>
        <v>-927.42</v>
      </c>
      <c r="J126" s="16">
        <f>-MIN(1200+MIN(0.3*2200,800)+250*2+0.15*1000+MIN(0.15*6000,(800)),J125)</f>
        <v>-1282.6699999999998</v>
      </c>
      <c r="K126" s="16">
        <f>-MIN(1200+MIN(0.3*2200,800)+250*2+0.15*1000+MIN(0.15*6000,(800)),K125)</f>
        <v>-1282.6699999999998</v>
      </c>
      <c r="L126" s="62"/>
      <c r="M126" s="15" t="s">
        <v>14</v>
      </c>
      <c r="N126" s="16">
        <v>-1636.44</v>
      </c>
      <c r="O126" s="16">
        <f>-MIN(O125,7.5%*1000+300*2+250+(MIN(1100*15%,400))*2+MIN(6000*7.5%,(502+(298*(30000-(O124))/22909))/2))</f>
        <v>-1636.7562966519708</v>
      </c>
      <c r="P126" s="16"/>
      <c r="Q126" s="28"/>
      <c r="R126" s="18"/>
      <c r="S126" s="18"/>
      <c r="Y126" s="20"/>
    </row>
    <row r="127" spans="1:25" s="19" customFormat="1" ht="15">
      <c r="A127" s="25"/>
      <c r="B127" s="25"/>
      <c r="C127" s="15" t="s">
        <v>15</v>
      </c>
      <c r="D127" s="16">
        <f>+D125+D126</f>
        <v>0</v>
      </c>
      <c r="E127" s="16">
        <f>+E125+E126</f>
        <v>0</v>
      </c>
      <c r="F127" s="16">
        <f>F125+F126</f>
        <v>0</v>
      </c>
      <c r="G127" s="62"/>
      <c r="H127" s="15" t="s">
        <v>15</v>
      </c>
      <c r="I127" s="16">
        <f>+I125+I126</f>
        <v>0</v>
      </c>
      <c r="J127" s="16">
        <f>+J125+J126</f>
        <v>0</v>
      </c>
      <c r="K127" s="16">
        <f>+K125+K126</f>
        <v>0</v>
      </c>
      <c r="L127" s="62"/>
      <c r="M127" s="15" t="s">
        <v>15</v>
      </c>
      <c r="N127" s="16">
        <f>+N125+N126</f>
        <v>199.01999999999998</v>
      </c>
      <c r="O127" s="16">
        <f>+O125+O126</f>
        <v>190.86370334802882</v>
      </c>
      <c r="P127" s="16"/>
      <c r="Q127" s="28"/>
      <c r="R127" s="18"/>
      <c r="S127" s="18"/>
      <c r="Y127" s="20"/>
    </row>
    <row r="128" spans="1:25" s="19" customFormat="1" ht="15">
      <c r="A128" s="25"/>
      <c r="B128" s="25"/>
      <c r="C128" s="15" t="s">
        <v>16</v>
      </c>
      <c r="D128" s="16">
        <v>0</v>
      </c>
      <c r="E128" s="16">
        <v>0</v>
      </c>
      <c r="F128" s="16">
        <f>0</f>
        <v>0</v>
      </c>
      <c r="G128" s="62"/>
      <c r="H128" s="15" t="s">
        <v>16</v>
      </c>
      <c r="I128" s="16">
        <v>0</v>
      </c>
      <c r="J128" s="16">
        <v>0</v>
      </c>
      <c r="K128" s="16">
        <v>0</v>
      </c>
      <c r="L128" s="62"/>
      <c r="M128" s="15" t="s">
        <v>16</v>
      </c>
      <c r="N128" s="16">
        <v>11.51</v>
      </c>
      <c r="O128" s="16">
        <v>0</v>
      </c>
      <c r="P128" s="16"/>
      <c r="Q128" s="28"/>
      <c r="R128" s="18"/>
      <c r="S128" s="18"/>
      <c r="Y128" s="20"/>
    </row>
    <row r="129" spans="1:25" s="19" customFormat="1" ht="15">
      <c r="A129" s="25"/>
      <c r="B129" s="25"/>
      <c r="C129" s="15" t="s">
        <v>17</v>
      </c>
      <c r="D129" s="16">
        <f>+D127+D128</f>
        <v>0</v>
      </c>
      <c r="E129" s="16">
        <f>+E127+E128</f>
        <v>0</v>
      </c>
      <c r="F129" s="16">
        <f>F127+F128</f>
        <v>0</v>
      </c>
      <c r="G129" s="62"/>
      <c r="H129" s="15" t="s">
        <v>17</v>
      </c>
      <c r="I129" s="16">
        <f>+I127+I128</f>
        <v>0</v>
      </c>
      <c r="J129" s="16">
        <f>+J127+J128</f>
        <v>0</v>
      </c>
      <c r="K129" s="16">
        <f>+K127+K128</f>
        <v>0</v>
      </c>
      <c r="L129" s="62"/>
      <c r="M129" s="15" t="s">
        <v>17</v>
      </c>
      <c r="N129" s="16">
        <f>+N127+N128</f>
        <v>210.52999999999997</v>
      </c>
      <c r="O129" s="16">
        <f>+O127+O128</f>
        <v>190.86370334802882</v>
      </c>
      <c r="P129" s="16"/>
      <c r="Q129" s="28"/>
      <c r="R129" s="18"/>
      <c r="S129" s="18"/>
      <c r="Y129" s="20"/>
    </row>
    <row r="130" spans="1:25" s="19" customFormat="1" ht="15">
      <c r="A130" s="25"/>
      <c r="B130" s="25"/>
      <c r="C130" s="15" t="s">
        <v>18</v>
      </c>
      <c r="D130" s="16">
        <f>+D116</f>
        <v>1155</v>
      </c>
      <c r="E130" s="16">
        <f>+E116</f>
        <v>1155</v>
      </c>
      <c r="F130" s="16">
        <f>F122*11%</f>
        <v>1155</v>
      </c>
      <c r="G130" s="62"/>
      <c r="H130" s="15" t="s">
        <v>18</v>
      </c>
      <c r="I130" s="16">
        <f>+I116</f>
        <v>1155</v>
      </c>
      <c r="J130" s="16">
        <f>J122*0.11</f>
        <v>1424.5</v>
      </c>
      <c r="K130" s="16">
        <f>K122*0.11</f>
        <v>1424.5</v>
      </c>
      <c r="L130" s="62"/>
      <c r="M130" s="15" t="s">
        <v>18</v>
      </c>
      <c r="N130" s="16">
        <f>+N116</f>
        <v>1540</v>
      </c>
      <c r="O130" s="16">
        <f>0.11*O122</f>
        <v>1540</v>
      </c>
      <c r="P130" s="16"/>
      <c r="Q130" s="28"/>
      <c r="R130" s="18"/>
      <c r="S130" s="18"/>
      <c r="Y130" s="20"/>
    </row>
    <row r="131" spans="1:25" s="19" customFormat="1" ht="15">
      <c r="A131" s="25"/>
      <c r="B131" s="25"/>
      <c r="C131" s="15" t="s">
        <v>19</v>
      </c>
      <c r="D131" s="16">
        <f>+D122-D129-D130</f>
        <v>9345</v>
      </c>
      <c r="E131" s="16">
        <f>+E122-E129-E130</f>
        <v>9345</v>
      </c>
      <c r="F131" s="16">
        <f>F122-F129-F130</f>
        <v>9345</v>
      </c>
      <c r="G131" s="62"/>
      <c r="H131" s="15" t="s">
        <v>19</v>
      </c>
      <c r="I131" s="16">
        <f>+I122-I129-I130</f>
        <v>9345</v>
      </c>
      <c r="J131" s="16">
        <f>+J122-J129-J130</f>
        <v>11525.5</v>
      </c>
      <c r="K131" s="16">
        <f>+K122-K129-K130</f>
        <v>11525.5</v>
      </c>
      <c r="L131" s="62"/>
      <c r="M131" s="15" t="s">
        <v>19</v>
      </c>
      <c r="N131" s="16">
        <f>+N122-N129-N130</f>
        <v>12249.47</v>
      </c>
      <c r="O131" s="16">
        <f>+O122-O129-O130</f>
        <v>12269.136296651972</v>
      </c>
      <c r="P131" s="16"/>
      <c r="Q131" s="28"/>
      <c r="R131" s="18"/>
      <c r="S131" s="18"/>
      <c r="Y131" s="20">
        <v>69404.350000000006</v>
      </c>
    </row>
    <row r="132" spans="1:25" s="19" customFormat="1" ht="15">
      <c r="A132" s="25"/>
      <c r="B132" s="25"/>
      <c r="C132" s="40"/>
      <c r="D132" s="41"/>
      <c r="E132" s="41"/>
      <c r="F132" s="41"/>
      <c r="G132" s="62"/>
      <c r="H132" s="40"/>
      <c r="I132" s="41"/>
      <c r="J132" s="41"/>
      <c r="K132" s="41"/>
      <c r="L132" s="62"/>
      <c r="M132" s="40"/>
      <c r="N132" s="41"/>
      <c r="O132" s="41"/>
      <c r="P132" s="41"/>
      <c r="Q132" s="28"/>
      <c r="R132" s="18"/>
      <c r="S132" s="18"/>
      <c r="Y132" s="20"/>
    </row>
    <row r="133" spans="1:25" s="19" customFormat="1" ht="15">
      <c r="A133" s="25"/>
      <c r="B133" s="25"/>
      <c r="C133" s="58" t="s">
        <v>20</v>
      </c>
      <c r="D133" s="30"/>
      <c r="E133" s="31"/>
      <c r="F133" s="31">
        <f>+F131-E131</f>
        <v>0</v>
      </c>
      <c r="G133" s="64"/>
      <c r="H133" s="58" t="s">
        <v>20</v>
      </c>
      <c r="I133" s="30"/>
      <c r="J133" s="31"/>
      <c r="K133" s="31">
        <f>+K131-J131</f>
        <v>0</v>
      </c>
      <c r="L133" s="64"/>
      <c r="M133" s="35" t="s">
        <v>20</v>
      </c>
      <c r="N133" s="42"/>
      <c r="O133" s="42"/>
      <c r="P133" s="31">
        <f>+P131-O131</f>
        <v>-12269.136296651972</v>
      </c>
      <c r="Q133" s="28"/>
      <c r="R133" s="18"/>
      <c r="S133" s="18"/>
      <c r="Y133" s="20"/>
    </row>
    <row r="134" spans="1:25" s="19" customFormat="1" ht="15">
      <c r="A134" s="25"/>
      <c r="B134" s="25"/>
      <c r="C134" s="36"/>
      <c r="D134" s="43"/>
      <c r="E134" s="43"/>
      <c r="F134" s="43"/>
      <c r="G134" s="62"/>
      <c r="H134" s="36"/>
      <c r="I134" s="43"/>
      <c r="J134" s="43"/>
      <c r="K134" s="43"/>
      <c r="L134" s="62"/>
      <c r="M134" s="36"/>
      <c r="N134" s="37"/>
      <c r="O134" s="37"/>
      <c r="P134" s="43"/>
      <c r="Q134" s="28"/>
      <c r="R134" s="18"/>
      <c r="S134" s="18"/>
      <c r="Y134" s="20"/>
    </row>
    <row r="135" spans="1:25" ht="14.45" customHeight="1">
      <c r="A135" s="10"/>
      <c r="B135" s="103" t="s">
        <v>48</v>
      </c>
      <c r="C135" s="44" t="s">
        <v>49</v>
      </c>
      <c r="D135" s="45">
        <v>2016</v>
      </c>
      <c r="E135" s="45">
        <v>2017</v>
      </c>
      <c r="F135" s="45">
        <v>2018</v>
      </c>
      <c r="G135" s="65"/>
      <c r="H135" s="44" t="s">
        <v>50</v>
      </c>
      <c r="I135" s="45">
        <v>2016</v>
      </c>
      <c r="J135" s="45">
        <v>2017</v>
      </c>
      <c r="K135" s="45">
        <v>2018</v>
      </c>
      <c r="L135" s="65"/>
      <c r="M135" s="44" t="s">
        <v>51</v>
      </c>
      <c r="N135" s="12">
        <v>2016</v>
      </c>
      <c r="O135" s="12">
        <v>2017</v>
      </c>
      <c r="P135" s="45">
        <v>2018</v>
      </c>
      <c r="Q135" s="13"/>
    </row>
    <row r="136" spans="1:25" s="19" customFormat="1" ht="15">
      <c r="A136" s="14" t="s">
        <v>7</v>
      </c>
      <c r="B136" s="103"/>
      <c r="C136" s="15" t="s">
        <v>8</v>
      </c>
      <c r="D136" s="16">
        <f>+D122*2</f>
        <v>21000</v>
      </c>
      <c r="E136" s="16">
        <f>+E122*2</f>
        <v>21000</v>
      </c>
      <c r="F136" s="16">
        <f>+F122*2</f>
        <v>21000</v>
      </c>
      <c r="G136" s="62"/>
      <c r="H136" s="15" t="s">
        <v>8</v>
      </c>
      <c r="I136" s="16">
        <f>+I122*2</f>
        <v>21000</v>
      </c>
      <c r="J136" s="16">
        <f>(925*14)*2</f>
        <v>25900</v>
      </c>
      <c r="K136" s="16">
        <f>(925*14)*2</f>
        <v>25900</v>
      </c>
      <c r="L136" s="62"/>
      <c r="M136" s="15" t="s">
        <v>8</v>
      </c>
      <c r="N136" s="16">
        <f>+N122*2</f>
        <v>28000</v>
      </c>
      <c r="O136" s="16">
        <f>+O122*2</f>
        <v>28000</v>
      </c>
      <c r="P136" s="16"/>
      <c r="Q136" s="17"/>
      <c r="R136" s="18"/>
      <c r="S136" s="18"/>
      <c r="Y136" s="20"/>
    </row>
    <row r="137" spans="1:25" s="19" customFormat="1" ht="15">
      <c r="A137" s="14" t="s">
        <v>9</v>
      </c>
      <c r="B137" s="14"/>
      <c r="C137" s="15" t="s">
        <v>10</v>
      </c>
      <c r="D137" s="16">
        <f>+D123*2</f>
        <v>-8208</v>
      </c>
      <c r="E137" s="16">
        <f>-MAX(8208,E136*11%)</f>
        <v>-8208</v>
      </c>
      <c r="F137" s="16">
        <f>-MAX(8208,F136*11%)</f>
        <v>-8208</v>
      </c>
      <c r="G137" s="62"/>
      <c r="H137" s="15" t="s">
        <v>10</v>
      </c>
      <c r="I137" s="16">
        <f>+I123*2</f>
        <v>-8208</v>
      </c>
      <c r="J137" s="16">
        <f>-MAX(8208,J136*11%)</f>
        <v>-8208</v>
      </c>
      <c r="K137" s="16">
        <f>-MAX(8208,K136*11%)</f>
        <v>-8208</v>
      </c>
      <c r="L137" s="62"/>
      <c r="M137" s="15" t="s">
        <v>10</v>
      </c>
      <c r="N137" s="16">
        <f>+N123*2</f>
        <v>-8208</v>
      </c>
      <c r="O137" s="16">
        <f>-MAX(4104*2,O136*0.11)</f>
        <v>-8208</v>
      </c>
      <c r="P137" s="16"/>
      <c r="Q137" s="77" t="s">
        <v>31</v>
      </c>
      <c r="R137" s="18"/>
      <c r="S137" s="18"/>
      <c r="Y137" s="20"/>
    </row>
    <row r="138" spans="1:25" s="19" customFormat="1" ht="15">
      <c r="A138" s="14"/>
      <c r="B138" s="14"/>
      <c r="C138" s="15" t="s">
        <v>11</v>
      </c>
      <c r="D138" s="16">
        <f>+D136+D137</f>
        <v>12792</v>
      </c>
      <c r="E138" s="16">
        <f>+E136+E137</f>
        <v>12792</v>
      </c>
      <c r="F138" s="16">
        <f>F136+F137</f>
        <v>12792</v>
      </c>
      <c r="G138" s="62"/>
      <c r="H138" s="15" t="s">
        <v>11</v>
      </c>
      <c r="I138" s="16">
        <f>+I136+I137</f>
        <v>12792</v>
      </c>
      <c r="J138" s="16">
        <f>J136+J137</f>
        <v>17692</v>
      </c>
      <c r="K138" s="16">
        <f>K136+K137</f>
        <v>17692</v>
      </c>
      <c r="L138" s="62"/>
      <c r="M138" s="15" t="s">
        <v>11</v>
      </c>
      <c r="N138" s="16">
        <f>+N136+N137</f>
        <v>19792</v>
      </c>
      <c r="O138" s="16">
        <f>SUM(O136:O137)</f>
        <v>19792</v>
      </c>
      <c r="P138" s="16"/>
      <c r="Q138" s="78">
        <f>O138/2</f>
        <v>9896</v>
      </c>
      <c r="R138" s="18"/>
      <c r="S138" s="18"/>
      <c r="Y138" s="20"/>
    </row>
    <row r="139" spans="1:25" s="19" customFormat="1" ht="15" hidden="1">
      <c r="A139" s="14"/>
      <c r="B139" s="14"/>
      <c r="C139" s="15" t="s">
        <v>12</v>
      </c>
      <c r="D139" s="22"/>
      <c r="E139" s="22"/>
      <c r="F139" s="22"/>
      <c r="G139" s="63"/>
      <c r="H139" s="15" t="s">
        <v>12</v>
      </c>
      <c r="I139" s="22"/>
      <c r="J139" s="22"/>
      <c r="K139" s="22"/>
      <c r="L139" s="63"/>
      <c r="M139" s="15" t="s">
        <v>12</v>
      </c>
      <c r="N139" s="22"/>
      <c r="O139" s="22"/>
      <c r="P139" s="22"/>
      <c r="Q139" s="17"/>
      <c r="R139" s="18"/>
      <c r="S139" s="18"/>
      <c r="Y139" s="20"/>
    </row>
    <row r="140" spans="1:25" s="19" customFormat="1" ht="15">
      <c r="A140" s="14" t="s">
        <v>9</v>
      </c>
      <c r="B140" s="14"/>
      <c r="C140" s="15" t="s">
        <v>13</v>
      </c>
      <c r="D140" s="16">
        <f>+(D138/2)*0.145*2</f>
        <v>1854.84</v>
      </c>
      <c r="E140" s="16">
        <f>+(E138/2)*0.145*2</f>
        <v>1854.84</v>
      </c>
      <c r="F140" s="16">
        <f>+(F138/2)*0.145*2</f>
        <v>1854.84</v>
      </c>
      <c r="G140" s="62"/>
      <c r="H140" s="15" t="s">
        <v>13</v>
      </c>
      <c r="I140" s="16">
        <f>+(I138/2)*0.145*2</f>
        <v>1854.84</v>
      </c>
      <c r="J140" s="16">
        <f>+((J136/2)*28.5%-(992.74))*2</f>
        <v>5396.0199999999986</v>
      </c>
      <c r="K140" s="16">
        <f>+((K136/2)*28.5%-(992.74))*2</f>
        <v>5396.0199999999986</v>
      </c>
      <c r="L140" s="62"/>
      <c r="M140" s="15" t="s">
        <v>13</v>
      </c>
      <c r="N140" s="16">
        <f>3670.92</f>
        <v>3670.92</v>
      </c>
      <c r="O140" s="16">
        <f>((O138/2)*0.285-992.74)*2</f>
        <v>3655.2399999999993</v>
      </c>
      <c r="P140" s="16"/>
      <c r="Q140" s="17"/>
      <c r="R140" s="18"/>
      <c r="S140" s="18"/>
      <c r="Y140" s="20"/>
    </row>
    <row r="141" spans="1:25" s="19" customFormat="1" ht="15">
      <c r="A141" s="14"/>
      <c r="B141" s="14"/>
      <c r="C141" s="15" t="s">
        <v>14</v>
      </c>
      <c r="D141" s="16">
        <v>-1450</v>
      </c>
      <c r="E141" s="16">
        <f>-(+MIN((0.15*1000)+MIN(0.15*6000,800)+500,E140))</f>
        <v>-1450</v>
      </c>
      <c r="F141" s="16">
        <f>-(+MIN((0.15*1000)+MIN(0.15*6000,800)+500,F140))</f>
        <v>-1450</v>
      </c>
      <c r="G141" s="62"/>
      <c r="H141" s="15" t="s">
        <v>14</v>
      </c>
      <c r="I141" s="16">
        <v>-1450</v>
      </c>
      <c r="J141" s="16">
        <f>-MIN(0.15*1000+500+MIN(15%*6000,(502+(298*(30000-J138)/22909))),J140)</f>
        <v>-1312.1023178663409</v>
      </c>
      <c r="K141" s="16">
        <f>-MIN(0.15*1000+500+MIN(15%*6000,(502+(298*(30000-K138)/22909))),K140)</f>
        <v>-1312.1023178663409</v>
      </c>
      <c r="L141" s="62"/>
      <c r="M141" s="15" t="s">
        <v>14</v>
      </c>
      <c r="N141" s="16">
        <v>-1412.87</v>
      </c>
      <c r="O141" s="16">
        <f>-MIN(O140,15%*1000+250*2+MIN(6000*15%,(502+(298*(30000-(O138))/22909))))</f>
        <v>-1284.7855427997729</v>
      </c>
      <c r="P141" s="16"/>
      <c r="Q141" s="17"/>
      <c r="R141" s="18"/>
      <c r="S141" s="18"/>
      <c r="Y141" s="20"/>
    </row>
    <row r="142" spans="1:25" s="19" customFormat="1" ht="15">
      <c r="A142" s="14" t="s">
        <v>9</v>
      </c>
      <c r="B142" s="14"/>
      <c r="C142" s="15" t="s">
        <v>15</v>
      </c>
      <c r="D142" s="16">
        <f>+D140+D141</f>
        <v>404.83999999999992</v>
      </c>
      <c r="E142" s="16">
        <f>+E140+E141</f>
        <v>404.83999999999992</v>
      </c>
      <c r="F142" s="16">
        <f>F140+F141</f>
        <v>404.83999999999992</v>
      </c>
      <c r="G142" s="62"/>
      <c r="H142" s="15" t="s">
        <v>15</v>
      </c>
      <c r="I142" s="16">
        <f>+I140+I141</f>
        <v>404.83999999999992</v>
      </c>
      <c r="J142" s="16">
        <f>J140+J141</f>
        <v>4083.9176821336578</v>
      </c>
      <c r="K142" s="16">
        <f>K140+K141</f>
        <v>4083.9176821336578</v>
      </c>
      <c r="L142" s="62"/>
      <c r="M142" s="15" t="s">
        <v>15</v>
      </c>
      <c r="N142" s="16">
        <f>+N140+N141</f>
        <v>2258.0500000000002</v>
      </c>
      <c r="O142" s="16">
        <f>+O140+O141</f>
        <v>2370.4544572002264</v>
      </c>
      <c r="P142" s="16"/>
      <c r="Q142" s="17"/>
      <c r="R142" s="18"/>
      <c r="S142" s="18"/>
      <c r="Y142" s="20"/>
    </row>
    <row r="143" spans="1:25" s="19" customFormat="1" ht="15">
      <c r="A143" s="14" t="s">
        <v>9</v>
      </c>
      <c r="B143" s="14"/>
      <c r="C143" s="15" t="s">
        <v>16</v>
      </c>
      <c r="D143" s="16">
        <v>0</v>
      </c>
      <c r="E143" s="16">
        <v>0</v>
      </c>
      <c r="F143" s="16">
        <v>0</v>
      </c>
      <c r="G143" s="62"/>
      <c r="H143" s="15" t="s">
        <v>16</v>
      </c>
      <c r="I143" s="16">
        <v>0</v>
      </c>
      <c r="J143" s="16">
        <v>0</v>
      </c>
      <c r="K143" s="16">
        <v>0</v>
      </c>
      <c r="L143" s="62"/>
      <c r="M143" s="15" t="s">
        <v>16</v>
      </c>
      <c r="N143" s="16">
        <v>49.52</v>
      </c>
      <c r="O143" s="16">
        <v>12.38</v>
      </c>
      <c r="P143" s="16"/>
      <c r="Q143" s="17"/>
      <c r="R143" s="18"/>
      <c r="S143" s="18"/>
      <c r="Y143" s="20"/>
    </row>
    <row r="144" spans="1:25" s="19" customFormat="1" ht="15">
      <c r="A144" s="14"/>
      <c r="B144" s="14"/>
      <c r="C144" s="15" t="s">
        <v>17</v>
      </c>
      <c r="D144" s="16">
        <f>+D142+D143</f>
        <v>404.83999999999992</v>
      </c>
      <c r="E144" s="16">
        <f>+E142+E143</f>
        <v>404.83999999999992</v>
      </c>
      <c r="F144" s="16">
        <f>F142+F143</f>
        <v>404.83999999999992</v>
      </c>
      <c r="G144" s="62"/>
      <c r="H144" s="15" t="s">
        <v>17</v>
      </c>
      <c r="I144" s="16">
        <f>+I142+I143</f>
        <v>404.83999999999992</v>
      </c>
      <c r="J144" s="16">
        <f>J142+J143</f>
        <v>4083.9176821336578</v>
      </c>
      <c r="K144" s="16">
        <f>K142+K143</f>
        <v>4083.9176821336578</v>
      </c>
      <c r="L144" s="62"/>
      <c r="M144" s="15" t="s">
        <v>17</v>
      </c>
      <c r="N144" s="16">
        <f>+N142+N143</f>
        <v>2307.5700000000002</v>
      </c>
      <c r="O144" s="16">
        <f>+O142+O143</f>
        <v>2382.8344572002266</v>
      </c>
      <c r="P144" s="16"/>
      <c r="Q144" s="17"/>
      <c r="R144" s="18"/>
      <c r="S144" s="18"/>
      <c r="Y144" s="20"/>
    </row>
    <row r="145" spans="1:25" s="19" customFormat="1" ht="15">
      <c r="A145" s="14" t="s">
        <v>9</v>
      </c>
      <c r="B145" s="14"/>
      <c r="C145" s="15" t="s">
        <v>18</v>
      </c>
      <c r="D145" s="16">
        <f>+D130*2</f>
        <v>2310</v>
      </c>
      <c r="E145" s="16">
        <f>+E130*2</f>
        <v>2310</v>
      </c>
      <c r="F145" s="16">
        <f>F136*11%</f>
        <v>2310</v>
      </c>
      <c r="G145" s="62"/>
      <c r="H145" s="15" t="s">
        <v>18</v>
      </c>
      <c r="I145" s="16">
        <f>+I130*2</f>
        <v>2310</v>
      </c>
      <c r="J145" s="16">
        <f>J136*0.11</f>
        <v>2849</v>
      </c>
      <c r="K145" s="16">
        <f>K136*0.11</f>
        <v>2849</v>
      </c>
      <c r="L145" s="62"/>
      <c r="M145" s="15" t="s">
        <v>18</v>
      </c>
      <c r="N145" s="16">
        <f>+N130*2</f>
        <v>3080</v>
      </c>
      <c r="O145" s="16">
        <f>0.11*O136</f>
        <v>3080</v>
      </c>
      <c r="P145" s="16"/>
      <c r="Q145" s="17"/>
      <c r="R145" s="18"/>
      <c r="S145" s="18"/>
      <c r="Y145" s="20"/>
    </row>
    <row r="146" spans="1:25" s="19" customFormat="1" ht="15">
      <c r="A146" s="23"/>
      <c r="B146" s="23"/>
      <c r="C146" s="15" t="s">
        <v>19</v>
      </c>
      <c r="D146" s="16">
        <f>+D136-D144-D145</f>
        <v>18285.16</v>
      </c>
      <c r="E146" s="16">
        <f>+E136-E144-E145</f>
        <v>18285.16</v>
      </c>
      <c r="F146" s="16">
        <f>F136-F144-F145</f>
        <v>18285.16</v>
      </c>
      <c r="G146" s="62"/>
      <c r="H146" s="15" t="s">
        <v>19</v>
      </c>
      <c r="I146" s="16">
        <f>+I136-I144-I145</f>
        <v>18285.16</v>
      </c>
      <c r="J146" s="16">
        <f>J136-J144-J145</f>
        <v>18967.082317866341</v>
      </c>
      <c r="K146" s="16">
        <f>K136-K144-K145</f>
        <v>18967.082317866341</v>
      </c>
      <c r="L146" s="62"/>
      <c r="M146" s="15" t="s">
        <v>19</v>
      </c>
      <c r="N146" s="16">
        <f>+N136-N144-N145</f>
        <v>22612.43</v>
      </c>
      <c r="O146" s="16">
        <f>+O136-O144-O145</f>
        <v>22537.165542799772</v>
      </c>
      <c r="P146" s="16"/>
      <c r="Q146" s="34"/>
      <c r="R146" s="18"/>
      <c r="S146" s="18"/>
      <c r="Y146" s="20"/>
    </row>
    <row r="147" spans="1:25" s="19" customFormat="1" ht="15">
      <c r="A147" s="25"/>
      <c r="B147" s="25"/>
      <c r="C147" s="40"/>
      <c r="D147" s="41"/>
      <c r="E147" s="41"/>
      <c r="F147" s="41"/>
      <c r="G147" s="62"/>
      <c r="H147" s="40"/>
      <c r="I147" s="41"/>
      <c r="J147" s="41"/>
      <c r="K147" s="41"/>
      <c r="L147" s="62"/>
      <c r="M147" s="26"/>
      <c r="N147" s="27"/>
      <c r="O147" s="27"/>
      <c r="P147" s="41"/>
      <c r="Q147" s="28"/>
      <c r="R147" s="18"/>
      <c r="S147" s="18"/>
      <c r="Y147" s="20"/>
    </row>
    <row r="148" spans="1:25" s="19" customFormat="1" ht="15">
      <c r="A148" s="25"/>
      <c r="B148" s="25"/>
      <c r="C148" s="58" t="s">
        <v>20</v>
      </c>
      <c r="D148" s="30"/>
      <c r="E148" s="31"/>
      <c r="F148" s="31">
        <f>+F146-E146</f>
        <v>0</v>
      </c>
      <c r="G148" s="64"/>
      <c r="H148" s="58" t="s">
        <v>20</v>
      </c>
      <c r="I148" s="30"/>
      <c r="J148" s="31"/>
      <c r="K148" s="31">
        <f>+K146-J146</f>
        <v>0</v>
      </c>
      <c r="L148" s="64"/>
      <c r="M148" s="35" t="s">
        <v>20</v>
      </c>
      <c r="N148" s="31"/>
      <c r="O148" s="31"/>
      <c r="P148" s="31">
        <f>+P146-O146</f>
        <v>-22537.165542799772</v>
      </c>
      <c r="Q148" s="28"/>
      <c r="R148" s="18"/>
      <c r="S148" s="18"/>
      <c r="Y148" s="20"/>
    </row>
    <row r="149" spans="1:25">
      <c r="A149" s="10"/>
      <c r="B149" s="10"/>
      <c r="C149" s="36"/>
      <c r="D149" s="51"/>
      <c r="E149" s="51"/>
      <c r="F149" s="51"/>
      <c r="G149" s="66"/>
      <c r="H149" s="36"/>
      <c r="I149" s="51"/>
      <c r="J149" s="51"/>
      <c r="K149" s="51"/>
      <c r="L149" s="66"/>
      <c r="M149" s="36"/>
      <c r="N149" s="52"/>
      <c r="O149" s="52"/>
      <c r="P149" s="51"/>
      <c r="Q149" s="13"/>
    </row>
    <row r="150" spans="1:25">
      <c r="A150" s="10"/>
      <c r="B150" s="10"/>
      <c r="C150" s="44" t="s">
        <v>52</v>
      </c>
      <c r="D150" s="45">
        <v>2016</v>
      </c>
      <c r="E150" s="45">
        <v>2017</v>
      </c>
      <c r="F150" s="45">
        <v>2018</v>
      </c>
      <c r="G150" s="65"/>
      <c r="H150" s="44" t="s">
        <v>53</v>
      </c>
      <c r="I150" s="45">
        <v>2016</v>
      </c>
      <c r="J150" s="45">
        <v>2017</v>
      </c>
      <c r="K150" s="45">
        <v>2018</v>
      </c>
      <c r="L150" s="65"/>
      <c r="M150" s="44" t="s">
        <v>54</v>
      </c>
      <c r="N150" s="12">
        <v>2016</v>
      </c>
      <c r="O150" s="12">
        <v>2017</v>
      </c>
      <c r="P150" s="45">
        <v>2018</v>
      </c>
      <c r="Q150" s="13"/>
    </row>
    <row r="151" spans="1:25" s="19" customFormat="1" ht="15">
      <c r="A151" s="14" t="s">
        <v>7</v>
      </c>
      <c r="B151" s="14"/>
      <c r="C151" s="15" t="s">
        <v>8</v>
      </c>
      <c r="D151" s="16">
        <v>21000</v>
      </c>
      <c r="E151" s="16">
        <v>21000</v>
      </c>
      <c r="F151" s="16">
        <v>21000</v>
      </c>
      <c r="G151" s="62"/>
      <c r="H151" s="15" t="s">
        <v>8</v>
      </c>
      <c r="I151" s="16">
        <v>21000</v>
      </c>
      <c r="J151" s="16">
        <f>(925*14)*2</f>
        <v>25900</v>
      </c>
      <c r="K151" s="16">
        <f>(925*14)*2</f>
        <v>25900</v>
      </c>
      <c r="L151" s="62"/>
      <c r="M151" s="15" t="s">
        <v>8</v>
      </c>
      <c r="N151" s="16">
        <f>+N136</f>
        <v>28000</v>
      </c>
      <c r="O151" s="16">
        <f>+O136</f>
        <v>28000</v>
      </c>
      <c r="P151" s="16"/>
      <c r="Q151" s="21">
        <f>14*1000*2</f>
        <v>28000</v>
      </c>
      <c r="R151" s="18"/>
      <c r="S151" s="18"/>
      <c r="Y151" s="20"/>
    </row>
    <row r="152" spans="1:25" s="19" customFormat="1" ht="15">
      <c r="A152" s="14" t="s">
        <v>9</v>
      </c>
      <c r="B152" s="14"/>
      <c r="C152" s="15" t="s">
        <v>10</v>
      </c>
      <c r="D152" s="16">
        <f>+D137</f>
        <v>-8208</v>
      </c>
      <c r="E152" s="16">
        <f>-MAX(8208,E151*11%)</f>
        <v>-8208</v>
      </c>
      <c r="F152" s="16">
        <f>-MAX(8208,F151*11%)</f>
        <v>-8208</v>
      </c>
      <c r="G152" s="62"/>
      <c r="H152" s="15" t="s">
        <v>10</v>
      </c>
      <c r="I152" s="16">
        <f>+I137</f>
        <v>-8208</v>
      </c>
      <c r="J152" s="16">
        <f>-MAX(8208,J151*11%)</f>
        <v>-8208</v>
      </c>
      <c r="K152" s="16">
        <f>-MAX(8208,K151*11%)</f>
        <v>-8208</v>
      </c>
      <c r="L152" s="62"/>
      <c r="M152" s="15" t="s">
        <v>10</v>
      </c>
      <c r="N152" s="16">
        <f>+N137</f>
        <v>-8208</v>
      </c>
      <c r="O152" s="16">
        <f>-MAX(4104*2,O151*0.11)</f>
        <v>-8208</v>
      </c>
      <c r="P152" s="16"/>
      <c r="Q152" s="77" t="s">
        <v>31</v>
      </c>
      <c r="R152" s="18"/>
      <c r="S152" s="18"/>
      <c r="Y152" s="20"/>
    </row>
    <row r="153" spans="1:25" s="19" customFormat="1" ht="15">
      <c r="A153" s="14"/>
      <c r="B153" s="14"/>
      <c r="C153" s="15" t="s">
        <v>11</v>
      </c>
      <c r="D153" s="16">
        <f>+D151+D152</f>
        <v>12792</v>
      </c>
      <c r="E153" s="16">
        <f>+E151+E152</f>
        <v>12792</v>
      </c>
      <c r="F153" s="16">
        <f>+F151+F152</f>
        <v>12792</v>
      </c>
      <c r="G153" s="62"/>
      <c r="H153" s="15" t="s">
        <v>11</v>
      </c>
      <c r="I153" s="16">
        <f>+I151+I152</f>
        <v>12792</v>
      </c>
      <c r="J153" s="16">
        <f>J151+J152</f>
        <v>17692</v>
      </c>
      <c r="K153" s="16">
        <f>K151+K152</f>
        <v>17692</v>
      </c>
      <c r="L153" s="62"/>
      <c r="M153" s="15" t="s">
        <v>11</v>
      </c>
      <c r="N153" s="16">
        <f>+N151+N152</f>
        <v>19792</v>
      </c>
      <c r="O153" s="16">
        <f>SUM(O151:O152)</f>
        <v>19792</v>
      </c>
      <c r="P153" s="16"/>
      <c r="Q153" s="78">
        <f>O153/2</f>
        <v>9896</v>
      </c>
      <c r="R153" s="21"/>
      <c r="S153" s="21"/>
      <c r="Y153" s="20"/>
    </row>
    <row r="154" spans="1:25" s="19" customFormat="1" ht="15" hidden="1">
      <c r="A154" s="14"/>
      <c r="B154" s="14"/>
      <c r="C154" s="15" t="s">
        <v>12</v>
      </c>
      <c r="D154" s="22"/>
      <c r="E154" s="22"/>
      <c r="F154" s="22"/>
      <c r="G154" s="63"/>
      <c r="H154" s="15" t="s">
        <v>12</v>
      </c>
      <c r="I154" s="22"/>
      <c r="J154" s="22"/>
      <c r="K154" s="22"/>
      <c r="L154" s="63"/>
      <c r="M154" s="15" t="s">
        <v>12</v>
      </c>
      <c r="N154" s="22"/>
      <c r="O154" s="22"/>
      <c r="P154" s="22"/>
      <c r="Q154" s="17"/>
      <c r="R154" s="21"/>
      <c r="S154" s="21"/>
      <c r="Y154" s="20"/>
    </row>
    <row r="155" spans="1:25" s="19" customFormat="1" ht="15">
      <c r="A155" s="14" t="s">
        <v>9</v>
      </c>
      <c r="B155" s="14"/>
      <c r="C155" s="15" t="s">
        <v>13</v>
      </c>
      <c r="D155" s="16">
        <f>+D140</f>
        <v>1854.84</v>
      </c>
      <c r="E155" s="16">
        <f>+(E153/2)*0.145*2</f>
        <v>1854.84</v>
      </c>
      <c r="F155" s="16">
        <f>+(F153/2)*0.145*2</f>
        <v>1854.84</v>
      </c>
      <c r="G155" s="62"/>
      <c r="H155" s="15" t="s">
        <v>13</v>
      </c>
      <c r="I155" s="16">
        <f>+I140</f>
        <v>1854.84</v>
      </c>
      <c r="J155" s="16">
        <f>+((J151/2)*28.5%-(992.74))*2</f>
        <v>5396.0199999999986</v>
      </c>
      <c r="K155" s="16">
        <f>+((K151/2)*28.5%-(992.74))*2</f>
        <v>5396.0199999999986</v>
      </c>
      <c r="L155" s="62"/>
      <c r="M155" s="15" t="s">
        <v>13</v>
      </c>
      <c r="N155" s="16">
        <f>3670.92</f>
        <v>3670.92</v>
      </c>
      <c r="O155" s="16">
        <f>((O153/2)*0.285-992.74)*2</f>
        <v>3655.2399999999993</v>
      </c>
      <c r="P155" s="16"/>
      <c r="Q155" s="21">
        <f>+Q153/2</f>
        <v>4948</v>
      </c>
      <c r="R155" s="53">
        <v>0.01</v>
      </c>
      <c r="S155" s="21">
        <f>0.15*1000+MIN(0.15*6000,S156)+500+600+MIN(0.3*1100,800)</f>
        <v>2214.4617461354237</v>
      </c>
      <c r="Y155" s="20"/>
    </row>
    <row r="156" spans="1:25" s="19" customFormat="1" ht="15">
      <c r="A156" s="14"/>
      <c r="B156" s="14"/>
      <c r="C156" s="15" t="s">
        <v>14</v>
      </c>
      <c r="D156" s="16">
        <f>-D155</f>
        <v>-1854.84</v>
      </c>
      <c r="E156" s="16">
        <f>-(+MIN((0.15*1000)+MIN(0.15*6000,400)+MIN(0.3*1100,800)+500+600,E155))</f>
        <v>-1854.84</v>
      </c>
      <c r="F156" s="16">
        <f>-(+MIN((0.15*1000)+MIN(0.15*6000,400)+MIN(0.3*1100,800)+500+600,F155))</f>
        <v>-1854.84</v>
      </c>
      <c r="G156" s="62"/>
      <c r="H156" s="15" t="s">
        <v>14</v>
      </c>
      <c r="I156" s="16">
        <f>-I155</f>
        <v>-1854.84</v>
      </c>
      <c r="J156" s="16">
        <f>-MIN(600+MIN(0.3*1100,800)+250*2+0.15*1000+MIN(0.15*6000,(502+(298*(30000-J153)/22909))),J155)</f>
        <v>-2242.1023178663409</v>
      </c>
      <c r="K156" s="16">
        <f>-MIN(600+MIN(0.3*1100,800)+250*2+0.15*1000+MIN(0.15*6000,(502+(298*(30000-K153)/22909))),K155)</f>
        <v>-2242.1023178663409</v>
      </c>
      <c r="L156" s="62"/>
      <c r="M156" s="15" t="s">
        <v>14</v>
      </c>
      <c r="N156" s="16">
        <v>-2342.87</v>
      </c>
      <c r="O156" s="16">
        <f>-MIN(O155,600+MIN(0.3*1100,800)+15%*1000+250*2+MIN(6000*15%,(502+(298*(30000-(O153))/22909))))</f>
        <v>-2214.7855427997729</v>
      </c>
      <c r="P156" s="16"/>
      <c r="Q156" s="17">
        <f>(0.285*Q155-984.9)*2</f>
        <v>850.55999999999972</v>
      </c>
      <c r="R156" s="21">
        <f>+Q153-530*2*14</f>
        <v>-4944</v>
      </c>
      <c r="S156" s="21">
        <f>502+(800-502)*(30000-N153)/(30000-7035)</f>
        <v>634.46174613542348</v>
      </c>
      <c r="Y156" s="20"/>
    </row>
    <row r="157" spans="1:25" s="19" customFormat="1" ht="15">
      <c r="A157" s="14" t="s">
        <v>9</v>
      </c>
      <c r="B157" s="14"/>
      <c r="C157" s="15" t="s">
        <v>15</v>
      </c>
      <c r="D157" s="16">
        <f>+D155+D156</f>
        <v>0</v>
      </c>
      <c r="E157" s="16">
        <f>+E155+E156</f>
        <v>0</v>
      </c>
      <c r="F157" s="16">
        <f>F155+F156</f>
        <v>0</v>
      </c>
      <c r="G157" s="62"/>
      <c r="H157" s="15" t="s">
        <v>15</v>
      </c>
      <c r="I157" s="16">
        <f>+I155+I156</f>
        <v>0</v>
      </c>
      <c r="J157" s="16">
        <f>+J155+J156</f>
        <v>3153.9176821336578</v>
      </c>
      <c r="K157" s="16">
        <f>+K155+K156</f>
        <v>3153.9176821336578</v>
      </c>
      <c r="L157" s="62"/>
      <c r="M157" s="15" t="s">
        <v>15</v>
      </c>
      <c r="N157" s="16">
        <f>+N155+N156</f>
        <v>1328.0500000000002</v>
      </c>
      <c r="O157" s="16">
        <f>+O155+O156</f>
        <v>1440.4544572002264</v>
      </c>
      <c r="P157" s="16"/>
      <c r="Q157" s="17"/>
      <c r="R157" s="21">
        <f>+R156*R155</f>
        <v>-49.44</v>
      </c>
      <c r="S157" s="21"/>
      <c r="Y157" s="20"/>
    </row>
    <row r="158" spans="1:25" s="19" customFormat="1" ht="15">
      <c r="A158" s="14" t="s">
        <v>9</v>
      </c>
      <c r="B158" s="14"/>
      <c r="C158" s="15" t="s">
        <v>16</v>
      </c>
      <c r="D158" s="16">
        <v>0</v>
      </c>
      <c r="E158" s="16">
        <v>0</v>
      </c>
      <c r="F158" s="16">
        <f>0</f>
        <v>0</v>
      </c>
      <c r="G158" s="62"/>
      <c r="H158" s="15" t="s">
        <v>16</v>
      </c>
      <c r="I158" s="16">
        <v>0</v>
      </c>
      <c r="J158" s="16">
        <v>0</v>
      </c>
      <c r="K158" s="16">
        <v>0</v>
      </c>
      <c r="L158" s="62"/>
      <c r="M158" s="15" t="s">
        <v>16</v>
      </c>
      <c r="N158" s="16">
        <v>36.270000000000003</v>
      </c>
      <c r="O158" s="16">
        <v>0</v>
      </c>
      <c r="P158" s="16"/>
      <c r="Q158" s="17"/>
      <c r="R158" s="21"/>
      <c r="S158" s="21"/>
      <c r="Y158" s="20"/>
    </row>
    <row r="159" spans="1:25" s="19" customFormat="1" ht="15">
      <c r="A159" s="14"/>
      <c r="B159" s="14"/>
      <c r="C159" s="15" t="s">
        <v>17</v>
      </c>
      <c r="D159" s="16">
        <f>+D157+D158</f>
        <v>0</v>
      </c>
      <c r="E159" s="16">
        <f>+E157+E158</f>
        <v>0</v>
      </c>
      <c r="F159" s="16">
        <f>F157+F158</f>
        <v>0</v>
      </c>
      <c r="G159" s="62"/>
      <c r="H159" s="15" t="s">
        <v>17</v>
      </c>
      <c r="I159" s="16">
        <f>+I157+I158</f>
        <v>0</v>
      </c>
      <c r="J159" s="16">
        <f>+J158+J157</f>
        <v>3153.9176821336578</v>
      </c>
      <c r="K159" s="16">
        <f>+K158+K157</f>
        <v>3153.9176821336578</v>
      </c>
      <c r="L159" s="62"/>
      <c r="M159" s="15" t="s">
        <v>17</v>
      </c>
      <c r="N159" s="16">
        <f>+N158+N157</f>
        <v>1364.3200000000002</v>
      </c>
      <c r="O159" s="16">
        <f>+O158+O157</f>
        <v>1440.4544572002264</v>
      </c>
      <c r="P159" s="16"/>
      <c r="Q159" s="17"/>
      <c r="R159" s="21"/>
      <c r="S159" s="21"/>
      <c r="Y159" s="20"/>
    </row>
    <row r="160" spans="1:25" s="19" customFormat="1" ht="15">
      <c r="A160" s="14" t="s">
        <v>9</v>
      </c>
      <c r="B160" s="14"/>
      <c r="C160" s="15" t="s">
        <v>18</v>
      </c>
      <c r="D160" s="16">
        <f>0.11*D151</f>
        <v>2310</v>
      </c>
      <c r="E160" s="16">
        <f>0.11*E151</f>
        <v>2310</v>
      </c>
      <c r="F160" s="16">
        <f>F151*11%</f>
        <v>2310</v>
      </c>
      <c r="G160" s="62"/>
      <c r="H160" s="15" t="s">
        <v>18</v>
      </c>
      <c r="I160" s="16">
        <f>0.11*I151</f>
        <v>2310</v>
      </c>
      <c r="J160" s="16">
        <f>J151*0.11</f>
        <v>2849</v>
      </c>
      <c r="K160" s="16">
        <f>K151*0.11</f>
        <v>2849</v>
      </c>
      <c r="L160" s="62"/>
      <c r="M160" s="15" t="s">
        <v>18</v>
      </c>
      <c r="N160" s="16">
        <f>+N145</f>
        <v>3080</v>
      </c>
      <c r="O160" s="16">
        <f>0.11*O151</f>
        <v>3080</v>
      </c>
      <c r="P160" s="16"/>
      <c r="Q160" s="17"/>
      <c r="R160" s="21">
        <f>530*2.5%</f>
        <v>13.25</v>
      </c>
      <c r="S160" s="21"/>
      <c r="Y160" s="20"/>
    </row>
    <row r="161" spans="1:25" s="19" customFormat="1" ht="15">
      <c r="A161" s="23"/>
      <c r="B161" s="23"/>
      <c r="C161" s="15" t="s">
        <v>19</v>
      </c>
      <c r="D161" s="16">
        <f>+D151-D159-D160</f>
        <v>18690</v>
      </c>
      <c r="E161" s="16">
        <f>+E151-E159-E160</f>
        <v>18690</v>
      </c>
      <c r="F161" s="16">
        <f>F151-F159-F160</f>
        <v>18690</v>
      </c>
      <c r="G161" s="62"/>
      <c r="H161" s="15" t="s">
        <v>19</v>
      </c>
      <c r="I161" s="16">
        <f>+I151-I159-I160</f>
        <v>18690</v>
      </c>
      <c r="J161" s="16">
        <f>+J151-J159-J160</f>
        <v>19897.082317866341</v>
      </c>
      <c r="K161" s="16">
        <f>+K151-K159-K160</f>
        <v>19897.082317866341</v>
      </c>
      <c r="L161" s="62"/>
      <c r="M161" s="15" t="s">
        <v>19</v>
      </c>
      <c r="N161" s="16">
        <f>+N151-N159-N160</f>
        <v>23555.68</v>
      </c>
      <c r="O161" s="16">
        <f>+O151-O159-O160</f>
        <v>23479.545542799773</v>
      </c>
      <c r="P161" s="16"/>
      <c r="Q161" s="34"/>
      <c r="R161" s="21">
        <f>+R157-R160</f>
        <v>-62.69</v>
      </c>
      <c r="S161" s="21"/>
      <c r="Y161" s="20">
        <v>137883.45000000001</v>
      </c>
    </row>
    <row r="162" spans="1:25" s="19" customFormat="1" ht="15">
      <c r="A162" s="25"/>
      <c r="B162" s="25"/>
      <c r="C162" s="40"/>
      <c r="D162" s="41"/>
      <c r="E162" s="41"/>
      <c r="F162" s="41"/>
      <c r="G162" s="62"/>
      <c r="H162" s="40"/>
      <c r="I162" s="41"/>
      <c r="J162" s="41"/>
      <c r="K162" s="41"/>
      <c r="L162" s="62"/>
      <c r="M162" s="26"/>
      <c r="N162" s="27"/>
      <c r="O162" s="27"/>
      <c r="P162" s="41"/>
      <c r="Q162" s="28"/>
      <c r="R162" s="20"/>
      <c r="S162" s="20"/>
      <c r="Y162" s="20"/>
    </row>
    <row r="163" spans="1:25" s="19" customFormat="1" ht="15">
      <c r="A163" s="25"/>
      <c r="B163" s="25"/>
      <c r="C163" s="58" t="s">
        <v>20</v>
      </c>
      <c r="D163" s="30"/>
      <c r="E163" s="31"/>
      <c r="F163" s="31">
        <f>+F161-E161</f>
        <v>0</v>
      </c>
      <c r="G163" s="64"/>
      <c r="H163" s="58" t="s">
        <v>20</v>
      </c>
      <c r="I163" s="30"/>
      <c r="J163" s="31"/>
      <c r="K163" s="31">
        <f>+K161-J161</f>
        <v>0</v>
      </c>
      <c r="L163" s="64"/>
      <c r="M163" s="35" t="s">
        <v>20</v>
      </c>
      <c r="N163" s="31"/>
      <c r="O163" s="31"/>
      <c r="P163" s="31">
        <f>+P161-O161</f>
        <v>-23479.545542799773</v>
      </c>
      <c r="Q163" s="28"/>
      <c r="R163" s="18"/>
      <c r="S163" s="18"/>
      <c r="Y163" s="20"/>
    </row>
    <row r="164" spans="1:25">
      <c r="C164" s="54"/>
      <c r="D164" s="54"/>
      <c r="E164" s="54"/>
      <c r="F164" s="54"/>
      <c r="G164" s="69"/>
      <c r="H164" s="54"/>
      <c r="I164" s="54"/>
      <c r="J164" s="54"/>
      <c r="K164" s="54"/>
      <c r="L164" s="69"/>
      <c r="M164" s="3"/>
      <c r="N164" s="3"/>
      <c r="O164" s="3"/>
      <c r="P164" s="54"/>
    </row>
    <row r="165" spans="1:25">
      <c r="A165" s="10"/>
      <c r="B165" s="10"/>
      <c r="C165" s="44" t="s">
        <v>55</v>
      </c>
      <c r="D165" s="45">
        <v>2016</v>
      </c>
      <c r="E165" s="45">
        <v>2017</v>
      </c>
      <c r="F165" s="45">
        <v>2018</v>
      </c>
      <c r="G165" s="65"/>
      <c r="H165" s="44" t="s">
        <v>56</v>
      </c>
      <c r="I165" s="45">
        <v>2016</v>
      </c>
      <c r="J165" s="45">
        <v>2017</v>
      </c>
      <c r="K165" s="45">
        <v>2018</v>
      </c>
      <c r="L165" s="65"/>
      <c r="M165" s="44" t="s">
        <v>57</v>
      </c>
      <c r="N165" s="12">
        <v>2016</v>
      </c>
      <c r="O165" s="12">
        <v>2017</v>
      </c>
      <c r="P165" s="45">
        <v>2018</v>
      </c>
      <c r="Q165" s="13"/>
    </row>
    <row r="166" spans="1:25" s="19" customFormat="1" ht="15">
      <c r="A166" s="14" t="s">
        <v>58</v>
      </c>
      <c r="B166" s="14"/>
      <c r="C166" s="15" t="s">
        <v>8</v>
      </c>
      <c r="D166" s="16">
        <f>+D151</f>
        <v>21000</v>
      </c>
      <c r="E166" s="16">
        <f>+E151</f>
        <v>21000</v>
      </c>
      <c r="F166" s="16">
        <f>+F151</f>
        <v>21000</v>
      </c>
      <c r="G166" s="62"/>
      <c r="H166" s="15" t="s">
        <v>8</v>
      </c>
      <c r="I166" s="16">
        <f>+I151</f>
        <v>21000</v>
      </c>
      <c r="J166" s="16">
        <f>(925*14)*2</f>
        <v>25900</v>
      </c>
      <c r="K166" s="16">
        <f>(925*14)*2</f>
        <v>25900</v>
      </c>
      <c r="L166" s="62"/>
      <c r="M166" s="15" t="s">
        <v>8</v>
      </c>
      <c r="N166" s="16">
        <f>+N151</f>
        <v>28000</v>
      </c>
      <c r="O166" s="16">
        <f>+O151</f>
        <v>28000</v>
      </c>
      <c r="P166" s="16"/>
      <c r="Q166" s="17"/>
      <c r="R166" s="18"/>
      <c r="S166" s="18"/>
      <c r="Y166" s="20"/>
    </row>
    <row r="167" spans="1:25" s="19" customFormat="1" ht="15">
      <c r="A167" s="14" t="s">
        <v>9</v>
      </c>
      <c r="B167" s="14"/>
      <c r="C167" s="15" t="s">
        <v>10</v>
      </c>
      <c r="D167" s="16">
        <f>+D152</f>
        <v>-8208</v>
      </c>
      <c r="E167" s="16">
        <f>-MAX(8208,E166*11%)</f>
        <v>-8208</v>
      </c>
      <c r="F167" s="16">
        <f>-MAX(8208,F166*11%)</f>
        <v>-8208</v>
      </c>
      <c r="G167" s="62"/>
      <c r="H167" s="15" t="s">
        <v>10</v>
      </c>
      <c r="I167" s="16">
        <f>+I152</f>
        <v>-8208</v>
      </c>
      <c r="J167" s="16">
        <f>-MAX(8208,J166*11%)</f>
        <v>-8208</v>
      </c>
      <c r="K167" s="16">
        <f>-MAX(8208,K166*11%)</f>
        <v>-8208</v>
      </c>
      <c r="L167" s="62"/>
      <c r="M167" s="15" t="s">
        <v>10</v>
      </c>
      <c r="N167" s="16">
        <f>+N152</f>
        <v>-8208</v>
      </c>
      <c r="O167" s="16">
        <f>-MAX(4104*2,O166*0.11)</f>
        <v>-8208</v>
      </c>
      <c r="P167" s="16"/>
      <c r="Q167" s="77" t="s">
        <v>31</v>
      </c>
      <c r="R167" s="18"/>
      <c r="S167" s="18"/>
      <c r="Y167" s="20"/>
    </row>
    <row r="168" spans="1:25" s="19" customFormat="1" ht="15">
      <c r="A168" s="14"/>
      <c r="B168" s="14"/>
      <c r="C168" s="15" t="s">
        <v>11</v>
      </c>
      <c r="D168" s="16">
        <f>+D166+D167</f>
        <v>12792</v>
      </c>
      <c r="E168" s="16">
        <f>+E166+E167</f>
        <v>12792</v>
      </c>
      <c r="F168" s="16">
        <f>+F166+F167</f>
        <v>12792</v>
      </c>
      <c r="G168" s="62"/>
      <c r="H168" s="15" t="s">
        <v>11</v>
      </c>
      <c r="I168" s="16">
        <f>+I166+I167</f>
        <v>12792</v>
      </c>
      <c r="J168" s="16">
        <f>J166+J167</f>
        <v>17692</v>
      </c>
      <c r="K168" s="16">
        <f>K166+K167</f>
        <v>17692</v>
      </c>
      <c r="L168" s="62"/>
      <c r="M168" s="15" t="s">
        <v>11</v>
      </c>
      <c r="N168" s="16">
        <f>+N166+N167</f>
        <v>19792</v>
      </c>
      <c r="O168" s="16">
        <f>SUM(O166:O167)</f>
        <v>19792</v>
      </c>
      <c r="P168" s="16"/>
      <c r="Q168" s="78">
        <f>O168/2</f>
        <v>9896</v>
      </c>
      <c r="R168" s="18"/>
      <c r="S168" s="18"/>
      <c r="Y168" s="20"/>
    </row>
    <row r="169" spans="1:25" s="19" customFormat="1" ht="15" hidden="1">
      <c r="A169" s="14"/>
      <c r="B169" s="14"/>
      <c r="C169" s="15" t="s">
        <v>12</v>
      </c>
      <c r="D169" s="22"/>
      <c r="E169" s="22"/>
      <c r="F169" s="22"/>
      <c r="G169" s="63"/>
      <c r="H169" s="15" t="s">
        <v>12</v>
      </c>
      <c r="I169" s="22"/>
      <c r="J169" s="22"/>
      <c r="K169" s="22"/>
      <c r="L169" s="63"/>
      <c r="M169" s="15" t="s">
        <v>12</v>
      </c>
      <c r="N169" s="22"/>
      <c r="O169" s="22"/>
      <c r="P169" s="22"/>
      <c r="Q169" s="17"/>
      <c r="R169" s="18"/>
      <c r="S169" s="18"/>
      <c r="Y169" s="20"/>
    </row>
    <row r="170" spans="1:25" s="19" customFormat="1" ht="15">
      <c r="A170" s="14" t="s">
        <v>9</v>
      </c>
      <c r="B170" s="14"/>
      <c r="C170" s="15" t="s">
        <v>13</v>
      </c>
      <c r="D170" s="16">
        <f>+D155</f>
        <v>1854.84</v>
      </c>
      <c r="E170" s="16">
        <f>+(E168/2)*0.145*2</f>
        <v>1854.84</v>
      </c>
      <c r="F170" s="16">
        <f>+(F168/2)*0.145*2</f>
        <v>1854.84</v>
      </c>
      <c r="G170" s="62"/>
      <c r="H170" s="15" t="s">
        <v>13</v>
      </c>
      <c r="I170" s="16">
        <f>+I155</f>
        <v>1854.84</v>
      </c>
      <c r="J170" s="16">
        <f>+((J166/2)*28.5%-(992.74))*2</f>
        <v>5396.0199999999986</v>
      </c>
      <c r="K170" s="16">
        <f>+((K166/2)*28.5%-(992.74))*2</f>
        <v>5396.0199999999986</v>
      </c>
      <c r="L170" s="62"/>
      <c r="M170" s="15" t="s">
        <v>13</v>
      </c>
      <c r="N170" s="16">
        <f>3670.92</f>
        <v>3670.92</v>
      </c>
      <c r="O170" s="16">
        <f>((O168/2)*0.285-992.74)*2</f>
        <v>3655.2399999999993</v>
      </c>
      <c r="P170" s="16"/>
      <c r="Q170" s="17"/>
      <c r="R170" s="18"/>
      <c r="S170" s="18"/>
      <c r="Y170" s="20"/>
    </row>
    <row r="171" spans="1:25" s="19" customFormat="1" ht="15">
      <c r="A171" s="14"/>
      <c r="B171" s="14"/>
      <c r="C171" s="15" t="s">
        <v>14</v>
      </c>
      <c r="D171" s="16">
        <f>-D170</f>
        <v>-1854.84</v>
      </c>
      <c r="E171" s="16">
        <f>-(+MIN((0.15*1000)+MIN(0.15*6000,400)+MIN(0.3*2200,800)+500+1200,E170))</f>
        <v>-1854.84</v>
      </c>
      <c r="F171" s="16">
        <f>-(+MIN((0.15*1000)+MIN(0.15*6000,400)+MIN(0.3*2200,800)+500+1200,F170))</f>
        <v>-1854.84</v>
      </c>
      <c r="G171" s="62"/>
      <c r="H171" s="15" t="s">
        <v>14</v>
      </c>
      <c r="I171" s="16">
        <f>-I170</f>
        <v>-1854.84</v>
      </c>
      <c r="J171" s="16">
        <f>-MIN(1200+MIN(0.3*2200,800)+250*2+0.15*1000+MIN(0.15*6000,(502+(298*(30000-J168)/22909))),J170)</f>
        <v>-3172.1023178663409</v>
      </c>
      <c r="K171" s="16">
        <f>-MIN(1200+MIN(0.3*2200,800)+250*2+0.15*1000+MIN(0.15*6000,(502+(298*(30000-K168)/22909))),K170)</f>
        <v>-3172.1023178663409</v>
      </c>
      <c r="L171" s="62"/>
      <c r="M171" s="15" t="s">
        <v>14</v>
      </c>
      <c r="N171" s="16">
        <v>-3272.87</v>
      </c>
      <c r="O171" s="16">
        <f>-MIN(O170,600*2+2*MIN(0.3*1100,800)+7.5%*1000+250*2+MIN(6000*7.5%,(502+(298*(30000-(O168))/22909))))</f>
        <v>-2885</v>
      </c>
      <c r="P171" s="16"/>
      <c r="Q171" s="17"/>
      <c r="R171" s="18"/>
      <c r="S171" s="18"/>
      <c r="Y171" s="20"/>
    </row>
    <row r="172" spans="1:25" s="19" customFormat="1" ht="15">
      <c r="A172" s="14" t="s">
        <v>9</v>
      </c>
      <c r="B172" s="14"/>
      <c r="C172" s="15" t="s">
        <v>15</v>
      </c>
      <c r="D172" s="16">
        <f>+D170+D171</f>
        <v>0</v>
      </c>
      <c r="E172" s="16">
        <f>+E170+E171</f>
        <v>0</v>
      </c>
      <c r="F172" s="16">
        <f>+F170+F171</f>
        <v>0</v>
      </c>
      <c r="G172" s="62"/>
      <c r="H172" s="15" t="s">
        <v>15</v>
      </c>
      <c r="I172" s="16">
        <f>+I170+I171</f>
        <v>0</v>
      </c>
      <c r="J172" s="16">
        <f>+J170+J171</f>
        <v>2223.9176821336578</v>
      </c>
      <c r="K172" s="16">
        <f>+K170+K171</f>
        <v>2223.9176821336578</v>
      </c>
      <c r="L172" s="62"/>
      <c r="M172" s="15" t="s">
        <v>15</v>
      </c>
      <c r="N172" s="16">
        <f>+N170+N171</f>
        <v>398.05000000000018</v>
      </c>
      <c r="O172" s="16">
        <f>+O170+O171</f>
        <v>770.23999999999933</v>
      </c>
      <c r="P172" s="16"/>
      <c r="Q172" s="17"/>
      <c r="R172" s="18"/>
      <c r="S172" s="18"/>
      <c r="Y172" s="20"/>
    </row>
    <row r="173" spans="1:25" s="19" customFormat="1" ht="15">
      <c r="A173" s="14" t="s">
        <v>9</v>
      </c>
      <c r="B173" s="14"/>
      <c r="C173" s="15" t="s">
        <v>16</v>
      </c>
      <c r="D173" s="16">
        <v>0</v>
      </c>
      <c r="E173" s="16">
        <v>0</v>
      </c>
      <c r="F173" s="16">
        <v>0</v>
      </c>
      <c r="G173" s="62"/>
      <c r="H173" s="15" t="s">
        <v>16</v>
      </c>
      <c r="I173" s="16">
        <v>0</v>
      </c>
      <c r="J173" s="16">
        <v>0</v>
      </c>
      <c r="K173" s="16">
        <v>0</v>
      </c>
      <c r="L173" s="62"/>
      <c r="M173" s="15" t="s">
        <v>16</v>
      </c>
      <c r="N173" s="16">
        <v>23.02</v>
      </c>
      <c r="O173" s="16">
        <v>0</v>
      </c>
      <c r="P173" s="16"/>
      <c r="Q173" s="17"/>
      <c r="R173" s="18"/>
      <c r="S173" s="18"/>
      <c r="Y173" s="20"/>
    </row>
    <row r="174" spans="1:25" s="19" customFormat="1" ht="15">
      <c r="A174" s="14"/>
      <c r="B174" s="14"/>
      <c r="C174" s="15" t="s">
        <v>17</v>
      </c>
      <c r="D174" s="16">
        <f>+D172+D173</f>
        <v>0</v>
      </c>
      <c r="E174" s="16">
        <f>+E172+E173</f>
        <v>0</v>
      </c>
      <c r="F174" s="16">
        <f>+F172+F173</f>
        <v>0</v>
      </c>
      <c r="G174" s="62"/>
      <c r="H174" s="15" t="s">
        <v>17</v>
      </c>
      <c r="I174" s="16">
        <f>+I172+I173</f>
        <v>0</v>
      </c>
      <c r="J174" s="16">
        <f>+J173+J172</f>
        <v>2223.9176821336578</v>
      </c>
      <c r="K174" s="16">
        <f>+K173+K172</f>
        <v>2223.9176821336578</v>
      </c>
      <c r="L174" s="62"/>
      <c r="M174" s="15" t="s">
        <v>17</v>
      </c>
      <c r="N174" s="16">
        <f>+N172+N173</f>
        <v>421.07000000000016</v>
      </c>
      <c r="O174" s="16">
        <f>+O172+O173</f>
        <v>770.23999999999933</v>
      </c>
      <c r="P174" s="16"/>
      <c r="Q174" s="17"/>
      <c r="R174" s="18"/>
      <c r="S174" s="18"/>
      <c r="Y174" s="20"/>
    </row>
    <row r="175" spans="1:25" s="19" customFormat="1" ht="15">
      <c r="A175" s="14" t="s">
        <v>9</v>
      </c>
      <c r="B175" s="14"/>
      <c r="C175" s="15" t="s">
        <v>18</v>
      </c>
      <c r="D175" s="16">
        <f>+D160</f>
        <v>2310</v>
      </c>
      <c r="E175" s="16">
        <f>E166*11%</f>
        <v>2310</v>
      </c>
      <c r="F175" s="16">
        <f>F166*11%</f>
        <v>2310</v>
      </c>
      <c r="G175" s="62"/>
      <c r="H175" s="15" t="s">
        <v>18</v>
      </c>
      <c r="I175" s="16">
        <f>+I160</f>
        <v>2310</v>
      </c>
      <c r="J175" s="16">
        <f>J166*0.11</f>
        <v>2849</v>
      </c>
      <c r="K175" s="16">
        <f>K166*0.11</f>
        <v>2849</v>
      </c>
      <c r="L175" s="62"/>
      <c r="M175" s="15" t="s">
        <v>18</v>
      </c>
      <c r="N175" s="16">
        <f>+N160</f>
        <v>3080</v>
      </c>
      <c r="O175" s="16">
        <f>0.11*O166</f>
        <v>3080</v>
      </c>
      <c r="P175" s="16"/>
      <c r="Q175" s="17"/>
      <c r="R175" s="18"/>
      <c r="S175" s="18"/>
      <c r="Y175" s="20"/>
    </row>
    <row r="176" spans="1:25" s="19" customFormat="1" ht="15">
      <c r="A176" s="23"/>
      <c r="B176" s="23"/>
      <c r="C176" s="15" t="s">
        <v>19</v>
      </c>
      <c r="D176" s="16">
        <f>+D166-D174-D175</f>
        <v>18690</v>
      </c>
      <c r="E176" s="16">
        <f>+E166-E174-E175</f>
        <v>18690</v>
      </c>
      <c r="F176" s="16">
        <f>+F166-F174-F175</f>
        <v>18690</v>
      </c>
      <c r="G176" s="62"/>
      <c r="H176" s="15" t="s">
        <v>19</v>
      </c>
      <c r="I176" s="16">
        <f>+I166-I174-I175</f>
        <v>18690</v>
      </c>
      <c r="J176" s="16">
        <f>+J166-J174-J175</f>
        <v>20827.082317866341</v>
      </c>
      <c r="K176" s="16">
        <f>+K166-K174-K175</f>
        <v>20827.082317866341</v>
      </c>
      <c r="L176" s="62"/>
      <c r="M176" s="15" t="s">
        <v>19</v>
      </c>
      <c r="N176" s="16">
        <f>+N166-N174-N175</f>
        <v>24498.93</v>
      </c>
      <c r="O176" s="16">
        <f>+O166-O174-O175</f>
        <v>24149.760000000002</v>
      </c>
      <c r="P176" s="16"/>
      <c r="Q176" s="55"/>
      <c r="R176" s="18"/>
      <c r="S176" s="18"/>
      <c r="Y176" s="20">
        <v>138496.70000000001</v>
      </c>
    </row>
    <row r="177" spans="1:25" s="19" customFormat="1" ht="15">
      <c r="A177" s="25"/>
      <c r="B177" s="25"/>
      <c r="C177" s="40"/>
      <c r="D177" s="41"/>
      <c r="E177" s="41"/>
      <c r="F177" s="41"/>
      <c r="G177" s="62"/>
      <c r="H177" s="40"/>
      <c r="I177" s="41"/>
      <c r="J177" s="41"/>
      <c r="K177" s="41"/>
      <c r="L177" s="62"/>
      <c r="M177" s="26"/>
      <c r="N177" s="27"/>
      <c r="O177" s="27"/>
      <c r="P177" s="41"/>
      <c r="Q177" s="28"/>
      <c r="R177" s="18"/>
      <c r="S177" s="18"/>
      <c r="Y177" s="20"/>
    </row>
    <row r="178" spans="1:25">
      <c r="A178" s="10"/>
      <c r="B178" s="10"/>
      <c r="C178" s="58" t="s">
        <v>20</v>
      </c>
      <c r="D178" s="30"/>
      <c r="E178" s="31"/>
      <c r="F178" s="31">
        <f>+F176-E176</f>
        <v>0</v>
      </c>
      <c r="G178" s="64"/>
      <c r="H178" s="58" t="s">
        <v>20</v>
      </c>
      <c r="I178" s="30"/>
      <c r="J178" s="31"/>
      <c r="K178" s="31">
        <f>+K176-J176</f>
        <v>0</v>
      </c>
      <c r="L178" s="64"/>
      <c r="M178" s="35" t="s">
        <v>20</v>
      </c>
      <c r="N178" s="31"/>
      <c r="O178" s="31"/>
      <c r="P178" s="31">
        <f>+P176-O176</f>
        <v>-24149.760000000002</v>
      </c>
      <c r="Q178" s="13"/>
    </row>
    <row r="179" spans="1:25" hidden="1">
      <c r="C179" s="54"/>
      <c r="D179" s="54"/>
      <c r="E179" s="54"/>
      <c r="F179" s="54"/>
      <c r="G179" s="69"/>
      <c r="H179" s="54"/>
      <c r="I179" s="54"/>
      <c r="J179" s="54"/>
      <c r="K179" s="54"/>
      <c r="L179" s="69"/>
      <c r="P179" s="54"/>
    </row>
    <row r="180" spans="1:25" hidden="1">
      <c r="C180" s="54"/>
      <c r="D180" s="54"/>
      <c r="E180" s="54"/>
      <c r="F180" s="54"/>
      <c r="G180" s="69"/>
      <c r="H180" s="54"/>
      <c r="I180" s="54"/>
      <c r="J180" s="54"/>
      <c r="K180" s="54"/>
      <c r="L180" s="69"/>
      <c r="P180" s="54"/>
    </row>
    <row r="181" spans="1:25" hidden="1">
      <c r="C181" s="54"/>
      <c r="D181" s="54"/>
      <c r="E181" s="54"/>
      <c r="F181" s="54"/>
      <c r="G181" s="69"/>
      <c r="H181" s="54"/>
      <c r="I181" s="54"/>
      <c r="J181" s="54"/>
      <c r="K181" s="54"/>
      <c r="L181" s="69"/>
      <c r="P181" s="54"/>
    </row>
    <row r="182" spans="1:25" hidden="1">
      <c r="C182" s="54"/>
      <c r="D182" s="54"/>
      <c r="E182" s="54"/>
      <c r="F182" s="54"/>
      <c r="G182" s="69"/>
      <c r="H182" s="54"/>
      <c r="I182" s="54"/>
      <c r="J182" s="54"/>
      <c r="K182" s="54"/>
      <c r="L182" s="69"/>
      <c r="P182" s="54"/>
    </row>
    <row r="183" spans="1:25" hidden="1">
      <c r="C183" s="54"/>
      <c r="D183" s="54"/>
      <c r="E183" s="54"/>
      <c r="F183" s="54"/>
      <c r="G183" s="69"/>
      <c r="H183" s="54"/>
      <c r="I183" s="54"/>
      <c r="J183" s="54"/>
      <c r="K183" s="54"/>
      <c r="L183" s="69"/>
      <c r="P183" s="54"/>
    </row>
    <row r="184" spans="1:25" hidden="1">
      <c r="C184" s="54"/>
      <c r="D184" s="54"/>
      <c r="E184" s="54"/>
      <c r="F184" s="54"/>
      <c r="G184" s="69"/>
      <c r="H184" s="54"/>
      <c r="I184" s="54"/>
      <c r="J184" s="54"/>
      <c r="K184" s="54"/>
      <c r="L184" s="69"/>
      <c r="P184" s="54"/>
    </row>
    <row r="185" spans="1:25" hidden="1">
      <c r="C185" s="54"/>
      <c r="D185" s="54"/>
      <c r="E185" s="54"/>
      <c r="F185" s="54"/>
      <c r="G185" s="69"/>
      <c r="H185" s="54"/>
      <c r="I185" s="54"/>
      <c r="J185" s="54"/>
      <c r="K185" s="54"/>
      <c r="L185" s="69"/>
      <c r="P185" s="54"/>
    </row>
    <row r="186" spans="1:25" hidden="1">
      <c r="C186" s="54"/>
      <c r="D186" s="54"/>
      <c r="E186" s="54"/>
      <c r="F186" s="54"/>
      <c r="G186" s="69"/>
      <c r="H186" s="54"/>
      <c r="I186" s="54"/>
      <c r="J186" s="54"/>
      <c r="K186" s="54"/>
      <c r="L186" s="69"/>
      <c r="P186" s="54"/>
    </row>
    <row r="187" spans="1:25" hidden="1">
      <c r="C187" s="54"/>
      <c r="D187" s="54"/>
      <c r="E187" s="54"/>
      <c r="F187" s="54"/>
      <c r="G187" s="69"/>
      <c r="H187" s="54"/>
      <c r="I187" s="54"/>
      <c r="J187" s="54"/>
      <c r="K187" s="54"/>
      <c r="L187" s="69"/>
      <c r="P187" s="54"/>
    </row>
    <row r="188" spans="1:25" hidden="1">
      <c r="C188" s="54"/>
      <c r="D188" s="54"/>
      <c r="E188" s="54"/>
      <c r="F188" s="54"/>
      <c r="G188" s="69"/>
      <c r="H188" s="54"/>
      <c r="I188" s="54"/>
      <c r="J188" s="54"/>
      <c r="K188" s="54"/>
      <c r="L188" s="69"/>
      <c r="P188" s="54"/>
    </row>
    <row r="189" spans="1:25" hidden="1">
      <c r="C189" s="54"/>
      <c r="D189" s="54"/>
      <c r="E189" s="54"/>
      <c r="F189" s="54"/>
      <c r="G189" s="69"/>
      <c r="H189" s="54"/>
      <c r="I189" s="54"/>
      <c r="J189" s="54"/>
      <c r="K189" s="54"/>
      <c r="L189" s="69"/>
      <c r="P189" s="54"/>
    </row>
    <row r="190" spans="1:25">
      <c r="C190" s="54"/>
      <c r="D190" s="54"/>
      <c r="E190" s="54"/>
      <c r="F190" s="54"/>
      <c r="G190" s="69"/>
      <c r="H190" s="54"/>
      <c r="I190" s="54"/>
      <c r="J190" s="54"/>
      <c r="K190" s="54"/>
      <c r="L190" s="69"/>
      <c r="P190" s="54"/>
    </row>
    <row r="191" spans="1:25">
      <c r="C191" s="44" t="s">
        <v>59</v>
      </c>
      <c r="D191" s="45">
        <v>2016</v>
      </c>
      <c r="E191" s="45">
        <v>2017</v>
      </c>
      <c r="F191" s="45">
        <v>2018</v>
      </c>
      <c r="G191" s="65"/>
      <c r="H191" s="44" t="s">
        <v>60</v>
      </c>
      <c r="I191" s="45">
        <v>2016</v>
      </c>
      <c r="J191" s="45">
        <v>2017</v>
      </c>
      <c r="K191" s="45">
        <v>2018</v>
      </c>
      <c r="L191" s="65"/>
      <c r="M191" s="44" t="s">
        <v>61</v>
      </c>
      <c r="N191" s="12">
        <v>2016</v>
      </c>
      <c r="O191" s="12">
        <v>2017</v>
      </c>
      <c r="P191" s="45">
        <v>2018</v>
      </c>
    </row>
    <row r="192" spans="1:25">
      <c r="C192" s="15" t="s">
        <v>8</v>
      </c>
      <c r="D192" s="16">
        <f>+D166</f>
        <v>21000</v>
      </c>
      <c r="E192" s="16">
        <f>+E166</f>
        <v>21000</v>
      </c>
      <c r="F192" s="16">
        <f>+F166</f>
        <v>21000</v>
      </c>
      <c r="G192" s="62"/>
      <c r="H192" s="15" t="s">
        <v>8</v>
      </c>
      <c r="I192" s="16">
        <f>+I166</f>
        <v>21000</v>
      </c>
      <c r="J192" s="16">
        <f>(925*14)*2</f>
        <v>25900</v>
      </c>
      <c r="K192" s="16">
        <f>(925*14)*2</f>
        <v>25900</v>
      </c>
      <c r="L192" s="62"/>
      <c r="M192" s="15" t="s">
        <v>8</v>
      </c>
      <c r="N192" s="16">
        <f>+N166</f>
        <v>28000</v>
      </c>
      <c r="O192" s="16">
        <f>+O166</f>
        <v>28000</v>
      </c>
      <c r="P192" s="16"/>
    </row>
    <row r="193" spans="2:25">
      <c r="C193" s="15" t="s">
        <v>10</v>
      </c>
      <c r="D193" s="16">
        <f>+D167</f>
        <v>-8208</v>
      </c>
      <c r="E193" s="16">
        <f>-MAX(8208,E192*11%)</f>
        <v>-8208</v>
      </c>
      <c r="F193" s="16">
        <f>-MAX(8208,F192*11%)</f>
        <v>-8208</v>
      </c>
      <c r="G193" s="62"/>
      <c r="H193" s="15" t="s">
        <v>10</v>
      </c>
      <c r="I193" s="16">
        <f>+I167</f>
        <v>-8208</v>
      </c>
      <c r="J193" s="16">
        <f>-MAX(8208,J192*11%)</f>
        <v>-8208</v>
      </c>
      <c r="K193" s="16">
        <f>-MAX(8208,K192*11%)</f>
        <v>-8208</v>
      </c>
      <c r="L193" s="62"/>
      <c r="M193" s="15" t="s">
        <v>10</v>
      </c>
      <c r="N193" s="16">
        <f>+N167</f>
        <v>-8208</v>
      </c>
      <c r="O193" s="16">
        <f>-MAX(4104*2,O177*0.11)</f>
        <v>-8208</v>
      </c>
      <c r="P193" s="16"/>
      <c r="Q193" s="77" t="s">
        <v>31</v>
      </c>
    </row>
    <row r="194" spans="2:25">
      <c r="C194" s="15" t="s">
        <v>11</v>
      </c>
      <c r="D194" s="16">
        <f>+D192+D193</f>
        <v>12792</v>
      </c>
      <c r="E194" s="16">
        <f>+E192+E193</f>
        <v>12792</v>
      </c>
      <c r="F194" s="16">
        <f>+F192+F193</f>
        <v>12792</v>
      </c>
      <c r="G194" s="62"/>
      <c r="H194" s="15" t="s">
        <v>11</v>
      </c>
      <c r="I194" s="16">
        <f>+I192+I193</f>
        <v>12792</v>
      </c>
      <c r="J194" s="16">
        <f>J192+J193</f>
        <v>17692</v>
      </c>
      <c r="K194" s="16">
        <f>K192+K193</f>
        <v>17692</v>
      </c>
      <c r="L194" s="62"/>
      <c r="M194" s="15" t="s">
        <v>11</v>
      </c>
      <c r="N194" s="16">
        <f>+N192+N193</f>
        <v>19792</v>
      </c>
      <c r="O194" s="16">
        <f>SUM(O192:O193)</f>
        <v>19792</v>
      </c>
      <c r="P194" s="16"/>
      <c r="Q194" s="78">
        <f>O194/2</f>
        <v>9896</v>
      </c>
    </row>
    <row r="195" spans="2:25">
      <c r="C195" s="15" t="s">
        <v>13</v>
      </c>
      <c r="D195" s="16">
        <f>+D170</f>
        <v>1854.84</v>
      </c>
      <c r="E195" s="16">
        <f>+(E194/2)*0.145*2</f>
        <v>1854.84</v>
      </c>
      <c r="F195" s="16">
        <f>+(F194/2)*0.145*2</f>
        <v>1854.84</v>
      </c>
      <c r="G195" s="63"/>
      <c r="H195" s="15" t="s">
        <v>13</v>
      </c>
      <c r="I195" s="16">
        <f>+I170</f>
        <v>1854.84</v>
      </c>
      <c r="J195" s="16">
        <f>+((J191/2)*28.5%-(992.74))*2</f>
        <v>-1410.6350000000002</v>
      </c>
      <c r="K195" s="16">
        <f>+((K191/2)*28.5%-(992.74))*2</f>
        <v>-1410.35</v>
      </c>
      <c r="L195" s="63"/>
      <c r="M195" s="15" t="s">
        <v>13</v>
      </c>
      <c r="N195" s="16">
        <f>3670.92</f>
        <v>3670.92</v>
      </c>
      <c r="O195" s="16">
        <v>3655.24</v>
      </c>
      <c r="P195" s="16"/>
    </row>
    <row r="196" spans="2:25">
      <c r="C196" s="15" t="s">
        <v>14</v>
      </c>
      <c r="D196" s="16">
        <f>-D195</f>
        <v>-1854.84</v>
      </c>
      <c r="E196" s="16">
        <f>-(+MIN((0.15*1000)+MIN(0.15*6000,400)+MIN(0.3*3300,800)+500+1800,E195))</f>
        <v>-1854.84</v>
      </c>
      <c r="F196" s="16">
        <f>-(+MIN((0.15*1000)+MIN(0.15*6000,400)+MIN(0.3*3300,800)+500+1800,F195))</f>
        <v>-1854.84</v>
      </c>
      <c r="G196" s="62"/>
      <c r="H196" s="15" t="s">
        <v>14</v>
      </c>
      <c r="I196" s="16">
        <f>-I195</f>
        <v>-1854.84</v>
      </c>
      <c r="J196" s="16">
        <f>-MIN(1800+MIN(0.3*3300,800)+250*2+0.15*1000+MIN(0.15*6000,(502+(298*(30000-J193)/22909))),J195)</f>
        <v>1410.6350000000002</v>
      </c>
      <c r="K196" s="16">
        <f>-MIN(1800+MIN(0.3*3300,800)+250*2+0.15*1000+MIN(0.15*6000,(502+(298*(30000-K193)/22909))),K195)</f>
        <v>1410.35</v>
      </c>
      <c r="L196" s="62"/>
      <c r="M196" s="15" t="s">
        <v>14</v>
      </c>
      <c r="N196" s="16">
        <v>-3670.92</v>
      </c>
      <c r="O196" s="16">
        <f>-MIN(O195,600*3+3*MIN(0.3*1100,800)+7.5%*1000+250*2+MIN(6000*7.5%,(502+(298*(30000-(O193))/22909))))</f>
        <v>-3655.24</v>
      </c>
      <c r="P196" s="16"/>
    </row>
    <row r="197" spans="2:25">
      <c r="C197" s="15" t="s">
        <v>15</v>
      </c>
      <c r="D197" s="16">
        <f>+D195+D196</f>
        <v>0</v>
      </c>
      <c r="E197" s="16">
        <f>+E195+E196</f>
        <v>0</v>
      </c>
      <c r="F197" s="16">
        <f>+F195+F196</f>
        <v>0</v>
      </c>
      <c r="G197" s="62"/>
      <c r="H197" s="15" t="s">
        <v>15</v>
      </c>
      <c r="I197" s="16">
        <f>+I195+I196</f>
        <v>0</v>
      </c>
      <c r="J197" s="16">
        <f>+J195+J196</f>
        <v>0</v>
      </c>
      <c r="K197" s="16">
        <f>+K195+K196</f>
        <v>0</v>
      </c>
      <c r="L197" s="62"/>
      <c r="M197" s="15" t="s">
        <v>15</v>
      </c>
      <c r="N197" s="16">
        <f>+N195+N196</f>
        <v>0</v>
      </c>
      <c r="O197" s="16">
        <f>+O195+O196</f>
        <v>0</v>
      </c>
      <c r="P197" s="16"/>
    </row>
    <row r="198" spans="2:25">
      <c r="C198" s="15" t="s">
        <v>16</v>
      </c>
      <c r="D198" s="16">
        <v>0</v>
      </c>
      <c r="E198" s="16">
        <v>0</v>
      </c>
      <c r="F198" s="16">
        <v>0</v>
      </c>
      <c r="G198" s="62"/>
      <c r="H198" s="15" t="s">
        <v>16</v>
      </c>
      <c r="I198" s="16">
        <v>0</v>
      </c>
      <c r="J198" s="16">
        <v>0</v>
      </c>
      <c r="K198" s="16">
        <v>0</v>
      </c>
      <c r="L198" s="62"/>
      <c r="M198" s="15" t="s">
        <v>16</v>
      </c>
      <c r="N198" s="16">
        <v>9.77</v>
      </c>
      <c r="O198" s="16">
        <v>0</v>
      </c>
      <c r="P198" s="16"/>
    </row>
    <row r="199" spans="2:25">
      <c r="C199" s="15" t="s">
        <v>17</v>
      </c>
      <c r="D199" s="16">
        <f>+D197+D198</f>
        <v>0</v>
      </c>
      <c r="E199" s="16">
        <f>+E197+E198</f>
        <v>0</v>
      </c>
      <c r="F199" s="16">
        <f>+F197+F198</f>
        <v>0</v>
      </c>
      <c r="G199" s="62"/>
      <c r="H199" s="15" t="s">
        <v>17</v>
      </c>
      <c r="I199" s="16">
        <f>+I197+I198</f>
        <v>0</v>
      </c>
      <c r="J199" s="16">
        <f>+J198+J197</f>
        <v>0</v>
      </c>
      <c r="K199" s="16">
        <f>+K198+K197</f>
        <v>0</v>
      </c>
      <c r="L199" s="62"/>
      <c r="M199" s="15" t="s">
        <v>17</v>
      </c>
      <c r="N199" s="16">
        <f>+N197+N198</f>
        <v>9.77</v>
      </c>
      <c r="O199" s="16">
        <f>+O197+O198</f>
        <v>0</v>
      </c>
      <c r="P199" s="16"/>
    </row>
    <row r="200" spans="2:25">
      <c r="C200" s="15" t="s">
        <v>18</v>
      </c>
      <c r="D200" s="16">
        <f>+D175</f>
        <v>2310</v>
      </c>
      <c r="E200" s="16">
        <f>E192*11%</f>
        <v>2310</v>
      </c>
      <c r="F200" s="16">
        <f>F192*11%</f>
        <v>2310</v>
      </c>
      <c r="G200" s="62"/>
      <c r="H200" s="15" t="s">
        <v>18</v>
      </c>
      <c r="I200" s="16">
        <f>+I175</f>
        <v>2310</v>
      </c>
      <c r="J200" s="16">
        <f>J192*0.11</f>
        <v>2849</v>
      </c>
      <c r="K200" s="16">
        <f>K192*0.11</f>
        <v>2849</v>
      </c>
      <c r="L200" s="62"/>
      <c r="M200" s="15" t="s">
        <v>18</v>
      </c>
      <c r="N200" s="16">
        <f>+N175</f>
        <v>3080</v>
      </c>
      <c r="O200" s="16">
        <f>0.11*O192</f>
        <v>3080</v>
      </c>
      <c r="P200" s="16"/>
    </row>
    <row r="201" spans="2:25">
      <c r="C201" s="15" t="s">
        <v>19</v>
      </c>
      <c r="D201" s="16">
        <f>+D192-D197-D200</f>
        <v>18690</v>
      </c>
      <c r="E201" s="16">
        <f>+E192-E197-E200</f>
        <v>18690</v>
      </c>
      <c r="F201" s="16">
        <f>+F192-F197-F200</f>
        <v>18690</v>
      </c>
      <c r="G201" s="62"/>
      <c r="H201" s="15" t="s">
        <v>19</v>
      </c>
      <c r="I201" s="16">
        <f>+I192-I197-I200</f>
        <v>18690</v>
      </c>
      <c r="J201" s="16">
        <f>+J192-J199-J200</f>
        <v>23051</v>
      </c>
      <c r="K201" s="16">
        <f>+K192-K199-K200</f>
        <v>23051</v>
      </c>
      <c r="L201" s="62"/>
      <c r="M201" s="15" t="s">
        <v>19</v>
      </c>
      <c r="N201" s="16">
        <f>+N192-N199-N200</f>
        <v>24910.23</v>
      </c>
      <c r="O201" s="16">
        <f>+O192-O199-O200</f>
        <v>24920</v>
      </c>
      <c r="P201" s="16"/>
      <c r="Y201" s="4">
        <v>139259.95000000001</v>
      </c>
    </row>
    <row r="202" spans="2:25">
      <c r="C202" s="40"/>
      <c r="D202" s="41"/>
      <c r="E202" s="41"/>
      <c r="F202" s="41"/>
      <c r="G202" s="62"/>
      <c r="H202" s="40"/>
      <c r="I202" s="41"/>
      <c r="J202" s="41"/>
      <c r="K202" s="41"/>
      <c r="L202" s="62"/>
      <c r="M202" s="26"/>
      <c r="N202" s="27"/>
      <c r="O202" s="27"/>
      <c r="P202" s="41"/>
    </row>
    <row r="203" spans="2:25">
      <c r="C203" s="58" t="s">
        <v>20</v>
      </c>
      <c r="D203" s="30"/>
      <c r="E203" s="31"/>
      <c r="F203" s="31">
        <f>+F201-E201</f>
        <v>0</v>
      </c>
      <c r="G203" s="64"/>
      <c r="H203" s="58" t="s">
        <v>20</v>
      </c>
      <c r="I203" s="30"/>
      <c r="J203" s="31"/>
      <c r="K203" s="31">
        <f>+K201-J201</f>
        <v>0</v>
      </c>
      <c r="L203" s="64"/>
      <c r="M203" s="35" t="s">
        <v>20</v>
      </c>
      <c r="N203" s="31"/>
      <c r="O203" s="31"/>
      <c r="P203" s="31">
        <f>+P201-O201</f>
        <v>-24920</v>
      </c>
    </row>
    <row r="204" spans="2:25">
      <c r="C204" s="36"/>
      <c r="D204" s="43"/>
      <c r="E204" s="43"/>
      <c r="F204" s="43"/>
      <c r="G204" s="62"/>
      <c r="H204" s="36"/>
      <c r="I204" s="43"/>
      <c r="J204" s="43"/>
      <c r="K204" s="43"/>
      <c r="L204" s="62"/>
      <c r="M204" s="36"/>
      <c r="N204" s="37"/>
      <c r="O204" s="37"/>
      <c r="P204" s="43"/>
    </row>
    <row r="205" spans="2:25" ht="28.5" customHeight="1">
      <c r="B205" s="103" t="s">
        <v>62</v>
      </c>
      <c r="C205" s="44" t="s">
        <v>63</v>
      </c>
      <c r="D205" s="45">
        <v>2016</v>
      </c>
      <c r="E205" s="45">
        <v>2017</v>
      </c>
      <c r="F205" s="45">
        <v>2018</v>
      </c>
      <c r="G205" s="65"/>
      <c r="H205" s="44" t="s">
        <v>64</v>
      </c>
      <c r="I205" s="45">
        <v>2016</v>
      </c>
      <c r="J205" s="45">
        <v>2017</v>
      </c>
      <c r="K205" s="45">
        <v>2018</v>
      </c>
      <c r="L205" s="65"/>
      <c r="M205" s="44" t="s">
        <v>65</v>
      </c>
      <c r="N205" s="45">
        <v>2016</v>
      </c>
      <c r="O205" s="45">
        <v>2017</v>
      </c>
      <c r="P205" s="45">
        <v>2018</v>
      </c>
    </row>
    <row r="206" spans="2:25">
      <c r="B206" s="103"/>
      <c r="C206" s="15" t="s">
        <v>8</v>
      </c>
      <c r="D206" s="16">
        <f>+D192</f>
        <v>21000</v>
      </c>
      <c r="E206" s="16">
        <f>+E192</f>
        <v>21000</v>
      </c>
      <c r="F206" s="16">
        <f>+F192</f>
        <v>21000</v>
      </c>
      <c r="G206" s="62"/>
      <c r="H206" s="15" t="s">
        <v>8</v>
      </c>
      <c r="I206" s="16">
        <f>+I192</f>
        <v>21000</v>
      </c>
      <c r="J206" s="16">
        <f>925*28</f>
        <v>25900</v>
      </c>
      <c r="K206" s="16">
        <f>925*28</f>
        <v>25900</v>
      </c>
      <c r="L206" s="62"/>
      <c r="M206" s="15" t="s">
        <v>8</v>
      </c>
      <c r="N206" s="16">
        <f>+N136</f>
        <v>28000</v>
      </c>
      <c r="O206" s="16">
        <f>+O136</f>
        <v>28000</v>
      </c>
      <c r="P206" s="16"/>
    </row>
    <row r="207" spans="2:25">
      <c r="B207" s="56"/>
      <c r="C207" s="15" t="s">
        <v>10</v>
      </c>
      <c r="D207" s="16">
        <f>+D193</f>
        <v>-8208</v>
      </c>
      <c r="E207" s="16">
        <f>-MAX(8208,E206*11%)</f>
        <v>-8208</v>
      </c>
      <c r="F207" s="16">
        <f>-MAX(8208,F206*11%)</f>
        <v>-8208</v>
      </c>
      <c r="G207" s="62"/>
      <c r="H207" s="15" t="s">
        <v>10</v>
      </c>
      <c r="I207" s="16">
        <f>+I193</f>
        <v>-8208</v>
      </c>
      <c r="J207" s="16">
        <f>-MAX(8208,J206*11%)</f>
        <v>-8208</v>
      </c>
      <c r="K207" s="16">
        <f>-MAX(8208,K206*11%)</f>
        <v>-8208</v>
      </c>
      <c r="L207" s="62"/>
      <c r="M207" s="15" t="s">
        <v>10</v>
      </c>
      <c r="N207" s="16">
        <f>+N137</f>
        <v>-8208</v>
      </c>
      <c r="O207" s="16">
        <f>-MAX(4104*2,O191*0.11)</f>
        <v>-8208</v>
      </c>
      <c r="P207" s="16"/>
      <c r="Q207" s="77" t="s">
        <v>31</v>
      </c>
    </row>
    <row r="208" spans="2:25">
      <c r="B208" s="56"/>
      <c r="C208" s="15" t="s">
        <v>11</v>
      </c>
      <c r="D208" s="16">
        <f>+D206+D207</f>
        <v>12792</v>
      </c>
      <c r="E208" s="16">
        <f>+E206+E207</f>
        <v>12792</v>
      </c>
      <c r="F208" s="16">
        <f>+F206+F207</f>
        <v>12792</v>
      </c>
      <c r="G208" s="62"/>
      <c r="H208" s="15" t="s">
        <v>11</v>
      </c>
      <c r="I208" s="16">
        <f>+I206+I207</f>
        <v>12792</v>
      </c>
      <c r="J208" s="16">
        <f>J206+J207</f>
        <v>17692</v>
      </c>
      <c r="K208" s="16">
        <f>K206+K207</f>
        <v>17692</v>
      </c>
      <c r="L208" s="62"/>
      <c r="M208" s="15" t="s">
        <v>11</v>
      </c>
      <c r="N208" s="16">
        <f>+N206+N207</f>
        <v>19792</v>
      </c>
      <c r="O208" s="16">
        <f>SUM(O206:O207)</f>
        <v>19792</v>
      </c>
      <c r="P208" s="16"/>
      <c r="Q208" s="78">
        <f>O208/2</f>
        <v>9896</v>
      </c>
    </row>
    <row r="209" spans="2:25">
      <c r="B209" s="56"/>
      <c r="C209" s="15" t="s">
        <v>13</v>
      </c>
      <c r="D209" s="16">
        <f>927.42*2</f>
        <v>1854.84</v>
      </c>
      <c r="E209" s="16">
        <f>+(E208/2)*0.145*2</f>
        <v>1854.84</v>
      </c>
      <c r="F209" s="16">
        <f>+(F208/2)*0.145*2</f>
        <v>1854.84</v>
      </c>
      <c r="G209" s="63"/>
      <c r="H209" s="15" t="s">
        <v>13</v>
      </c>
      <c r="I209" s="16">
        <f>927.42*2</f>
        <v>1854.84</v>
      </c>
      <c r="J209" s="16">
        <f>((J208/2)*0.285-992.74)*2</f>
        <v>3056.7399999999993</v>
      </c>
      <c r="K209" s="16">
        <f>((K208/2)*0.285-992.74)*2</f>
        <v>3056.7399999999993</v>
      </c>
      <c r="L209" s="63"/>
      <c r="M209" s="15" t="s">
        <v>13</v>
      </c>
      <c r="N209" s="16">
        <f>3670.92</f>
        <v>3670.92</v>
      </c>
      <c r="O209" s="16">
        <f>((O208/2)*0.285-992.74)*2</f>
        <v>3655.2399999999993</v>
      </c>
      <c r="P209" s="16"/>
    </row>
    <row r="210" spans="2:25">
      <c r="B210" s="56"/>
      <c r="C210" s="15" t="s">
        <v>14</v>
      </c>
      <c r="D210" s="16">
        <v>-1450</v>
      </c>
      <c r="E210" s="16">
        <v>-1450</v>
      </c>
      <c r="F210" s="16">
        <f>-((+MIN(((0.075*1000)+MIN(0.075*6000,400)+250)*2,F209)))</f>
        <v>-1450</v>
      </c>
      <c r="G210" s="62"/>
      <c r="H210" s="15" t="s">
        <v>14</v>
      </c>
      <c r="I210" s="16">
        <v>-1450</v>
      </c>
      <c r="J210" s="16">
        <f>-MIN(J209,0.15*1000+250*2+MIN(6000*0.15,800)+600)</f>
        <v>-2050</v>
      </c>
      <c r="K210" s="16">
        <f>-MIN(K209,0.15*1000+250*2+MIN(6000*0.15,800)+600)</f>
        <v>-2050</v>
      </c>
      <c r="L210" s="62"/>
      <c r="M210" s="15" t="s">
        <v>14</v>
      </c>
      <c r="N210" s="16">
        <v>-1412.87</v>
      </c>
      <c r="O210" s="16">
        <f>-MIN(O209,(0.15*1000/2)+250+(MIN(6000*7.5%,(502+(298*(30000-(O208))/22909)))/2))</f>
        <v>-550</v>
      </c>
      <c r="P210" s="16"/>
    </row>
    <row r="211" spans="2:25">
      <c r="B211" s="56"/>
      <c r="C211" s="15" t="s">
        <v>15</v>
      </c>
      <c r="D211" s="16">
        <f>+D209+D210</f>
        <v>404.83999999999992</v>
      </c>
      <c r="E211" s="16">
        <f>+E209+E210</f>
        <v>404.83999999999992</v>
      </c>
      <c r="F211" s="16">
        <f>F209+F210</f>
        <v>404.83999999999992</v>
      </c>
      <c r="G211" s="62"/>
      <c r="H211" s="15" t="s">
        <v>15</v>
      </c>
      <c r="I211" s="16">
        <f>+I209+I210</f>
        <v>404.83999999999992</v>
      </c>
      <c r="J211" s="16">
        <f>+J209+J210</f>
        <v>1006.7399999999993</v>
      </c>
      <c r="K211" s="16">
        <f>+K209+K210</f>
        <v>1006.7399999999993</v>
      </c>
      <c r="L211" s="62"/>
      <c r="M211" s="15" t="s">
        <v>15</v>
      </c>
      <c r="N211" s="16">
        <f>+N209+N210</f>
        <v>2258.0500000000002</v>
      </c>
      <c r="O211" s="16">
        <f>+O209+O210</f>
        <v>3105.2399999999993</v>
      </c>
      <c r="P211" s="16"/>
    </row>
    <row r="212" spans="2:25">
      <c r="B212" s="56"/>
      <c r="C212" s="15" t="s">
        <v>16</v>
      </c>
      <c r="D212" s="16">
        <v>0</v>
      </c>
      <c r="E212" s="16">
        <v>0</v>
      </c>
      <c r="F212" s="16">
        <f>0</f>
        <v>0</v>
      </c>
      <c r="G212" s="62"/>
      <c r="H212" s="15" t="s">
        <v>16</v>
      </c>
      <c r="I212" s="16">
        <v>0</v>
      </c>
      <c r="J212" s="16">
        <v>0</v>
      </c>
      <c r="K212" s="16">
        <v>0</v>
      </c>
      <c r="L212" s="62"/>
      <c r="M212" s="15" t="s">
        <v>16</v>
      </c>
      <c r="N212" s="16">
        <v>49.52</v>
      </c>
      <c r="O212" s="16">
        <v>12.38</v>
      </c>
      <c r="P212" s="16"/>
    </row>
    <row r="213" spans="2:25">
      <c r="B213" s="56"/>
      <c r="C213" s="15" t="s">
        <v>17</v>
      </c>
      <c r="D213" s="16">
        <f>+D212+D211</f>
        <v>404.83999999999992</v>
      </c>
      <c r="E213" s="16">
        <f>+E212+E211</f>
        <v>404.83999999999992</v>
      </c>
      <c r="F213" s="16">
        <f>+F212+F211</f>
        <v>404.83999999999992</v>
      </c>
      <c r="G213" s="62"/>
      <c r="H213" s="15" t="s">
        <v>17</v>
      </c>
      <c r="I213" s="16">
        <f>+I212+I211</f>
        <v>404.83999999999992</v>
      </c>
      <c r="J213" s="16">
        <f>+J211+J212</f>
        <v>1006.7399999999993</v>
      </c>
      <c r="K213" s="16">
        <f>+K211+K212</f>
        <v>1006.7399999999993</v>
      </c>
      <c r="L213" s="62"/>
      <c r="M213" s="15" t="s">
        <v>17</v>
      </c>
      <c r="N213" s="16">
        <f>+N211+N212</f>
        <v>2307.5700000000002</v>
      </c>
      <c r="O213" s="16">
        <f>+O211+O212</f>
        <v>3117.6199999999994</v>
      </c>
      <c r="P213" s="16"/>
    </row>
    <row r="214" spans="2:25">
      <c r="B214" s="56"/>
      <c r="C214" s="15" t="s">
        <v>18</v>
      </c>
      <c r="D214" s="16">
        <f>+D200</f>
        <v>2310</v>
      </c>
      <c r="E214" s="16">
        <f>E206*11%</f>
        <v>2310</v>
      </c>
      <c r="F214" s="16">
        <f>F206*11%</f>
        <v>2310</v>
      </c>
      <c r="G214" s="62"/>
      <c r="H214" s="15" t="s">
        <v>18</v>
      </c>
      <c r="I214" s="16">
        <f>+I200</f>
        <v>2310</v>
      </c>
      <c r="J214" s="16">
        <f>J206*0.11</f>
        <v>2849</v>
      </c>
      <c r="K214" s="16">
        <f>K206*0.11</f>
        <v>2849</v>
      </c>
      <c r="L214" s="62"/>
      <c r="M214" s="15" t="s">
        <v>18</v>
      </c>
      <c r="N214" s="16">
        <f>+N145</f>
        <v>3080</v>
      </c>
      <c r="O214" s="16">
        <f>0.11*O206</f>
        <v>3080</v>
      </c>
      <c r="P214" s="16"/>
    </row>
    <row r="215" spans="2:25">
      <c r="B215" s="56"/>
      <c r="C215" s="15" t="s">
        <v>19</v>
      </c>
      <c r="D215" s="16">
        <f>+D206-D213-D214</f>
        <v>18285.16</v>
      </c>
      <c r="E215" s="16">
        <f>+E206-E213-E214</f>
        <v>18285.16</v>
      </c>
      <c r="F215" s="16">
        <f>+F206-F213-F214</f>
        <v>18285.16</v>
      </c>
      <c r="G215" s="62"/>
      <c r="H215" s="15" t="s">
        <v>19</v>
      </c>
      <c r="I215" s="16">
        <f>+I206-I213-I214</f>
        <v>18285.16</v>
      </c>
      <c r="J215" s="16">
        <f>+J206-J213-J214</f>
        <v>22044.260000000002</v>
      </c>
      <c r="K215" s="16">
        <f>+K206-K213-K214</f>
        <v>22044.260000000002</v>
      </c>
      <c r="L215" s="62"/>
      <c r="M215" s="15" t="s">
        <v>19</v>
      </c>
      <c r="N215" s="16">
        <f>+N206-N213-N214</f>
        <v>22612.43</v>
      </c>
      <c r="O215" s="16">
        <f>+O206-O213-O214</f>
        <v>21802.38</v>
      </c>
      <c r="P215" s="16"/>
      <c r="Y215" s="4">
        <v>137582.20000000001</v>
      </c>
    </row>
    <row r="216" spans="2:25">
      <c r="B216" s="56"/>
      <c r="C216" s="40"/>
      <c r="D216" s="41"/>
      <c r="E216" s="41"/>
      <c r="F216" s="41"/>
      <c r="G216" s="62"/>
      <c r="H216" s="40"/>
      <c r="I216" s="41"/>
      <c r="J216" s="41"/>
      <c r="K216" s="41"/>
      <c r="L216" s="62"/>
      <c r="M216" s="40"/>
      <c r="N216" s="41"/>
      <c r="O216" s="41"/>
      <c r="P216" s="41"/>
    </row>
    <row r="217" spans="2:25">
      <c r="B217" s="56"/>
      <c r="C217" s="58" t="s">
        <v>20</v>
      </c>
      <c r="D217" s="30"/>
      <c r="E217" s="31"/>
      <c r="F217" s="31">
        <f>+F215-E215</f>
        <v>0</v>
      </c>
      <c r="G217" s="64"/>
      <c r="H217" s="58" t="s">
        <v>20</v>
      </c>
      <c r="I217" s="30"/>
      <c r="J217" s="31"/>
      <c r="K217" s="31">
        <f>+K215-J215</f>
        <v>0</v>
      </c>
      <c r="L217" s="64"/>
      <c r="M217" s="35" t="s">
        <v>20</v>
      </c>
      <c r="N217" s="42"/>
      <c r="O217" s="42"/>
      <c r="P217" s="31">
        <f>+P215-O215</f>
        <v>-21802.38</v>
      </c>
    </row>
    <row r="218" spans="2:25">
      <c r="B218" s="56"/>
      <c r="C218" s="36"/>
      <c r="D218" s="51"/>
      <c r="E218" s="51"/>
      <c r="F218" s="51"/>
      <c r="G218" s="66"/>
      <c r="H218" s="36"/>
      <c r="I218" s="51"/>
      <c r="J218" s="51"/>
      <c r="K218" s="51"/>
      <c r="L218" s="66"/>
      <c r="M218" s="36"/>
      <c r="N218" s="51"/>
      <c r="O218" s="51"/>
      <c r="P218" s="51"/>
    </row>
    <row r="219" spans="2:25">
      <c r="B219" s="56"/>
      <c r="C219" s="44" t="s">
        <v>66</v>
      </c>
      <c r="D219" s="45">
        <v>2016</v>
      </c>
      <c r="E219" s="45">
        <v>2017</v>
      </c>
      <c r="F219" s="45">
        <v>2018</v>
      </c>
      <c r="G219" s="65"/>
      <c r="H219" s="44" t="s">
        <v>67</v>
      </c>
      <c r="I219" s="45">
        <v>2016</v>
      </c>
      <c r="J219" s="45">
        <v>2017</v>
      </c>
      <c r="K219" s="45">
        <v>2018</v>
      </c>
      <c r="L219" s="65"/>
      <c r="M219" s="44" t="s">
        <v>68</v>
      </c>
      <c r="N219" s="45">
        <v>2016</v>
      </c>
      <c r="O219" s="45">
        <v>2017</v>
      </c>
      <c r="P219" s="45">
        <v>2018</v>
      </c>
    </row>
    <row r="220" spans="2:25">
      <c r="B220" s="56"/>
      <c r="C220" s="15" t="s">
        <v>8</v>
      </c>
      <c r="D220" s="16">
        <f>+D206</f>
        <v>21000</v>
      </c>
      <c r="E220" s="16">
        <f>+E206</f>
        <v>21000</v>
      </c>
      <c r="F220" s="16">
        <f>+F206</f>
        <v>21000</v>
      </c>
      <c r="G220" s="62"/>
      <c r="H220" s="15" t="s">
        <v>8</v>
      </c>
      <c r="I220" s="16">
        <f>+I206</f>
        <v>21000</v>
      </c>
      <c r="J220" s="16">
        <f>925*28</f>
        <v>25900</v>
      </c>
      <c r="K220" s="16">
        <f>925*28</f>
        <v>25900</v>
      </c>
      <c r="L220" s="62"/>
      <c r="M220" s="15" t="s">
        <v>8</v>
      </c>
      <c r="N220" s="16">
        <f>+N206</f>
        <v>28000</v>
      </c>
      <c r="O220" s="16">
        <f>+O206</f>
        <v>28000</v>
      </c>
      <c r="P220" s="16"/>
    </row>
    <row r="221" spans="2:25">
      <c r="B221" s="56"/>
      <c r="C221" s="15" t="s">
        <v>10</v>
      </c>
      <c r="D221" s="16">
        <f>+D207</f>
        <v>-8208</v>
      </c>
      <c r="E221" s="16">
        <f>-MAX(8208,E220*11%)</f>
        <v>-8208</v>
      </c>
      <c r="F221" s="16">
        <f>-MAX(8208,F220*11%)</f>
        <v>-8208</v>
      </c>
      <c r="G221" s="62"/>
      <c r="H221" s="15" t="s">
        <v>10</v>
      </c>
      <c r="I221" s="16">
        <f>+I207</f>
        <v>-8208</v>
      </c>
      <c r="J221" s="16">
        <f>-MAX(8208,J220*11%)</f>
        <v>-8208</v>
      </c>
      <c r="K221" s="16">
        <f>-MAX(8208,K220*11%)</f>
        <v>-8208</v>
      </c>
      <c r="L221" s="62"/>
      <c r="M221" s="15" t="s">
        <v>10</v>
      </c>
      <c r="N221" s="16">
        <f>+N207</f>
        <v>-8208</v>
      </c>
      <c r="O221" s="16">
        <f>-MAX(4104*2,O205*0.11)</f>
        <v>-8208</v>
      </c>
      <c r="P221" s="16"/>
      <c r="Q221" s="77" t="s">
        <v>31</v>
      </c>
    </row>
    <row r="222" spans="2:25">
      <c r="B222" s="56"/>
      <c r="C222" s="15" t="s">
        <v>11</v>
      </c>
      <c r="D222" s="16">
        <f>+D220+D221</f>
        <v>12792</v>
      </c>
      <c r="E222" s="16">
        <f>+E220+E221</f>
        <v>12792</v>
      </c>
      <c r="F222" s="16">
        <f>+F220+F221</f>
        <v>12792</v>
      </c>
      <c r="G222" s="62"/>
      <c r="H222" s="15" t="s">
        <v>11</v>
      </c>
      <c r="I222" s="16">
        <f>+I220+I221</f>
        <v>12792</v>
      </c>
      <c r="J222" s="16">
        <f>J220+J221</f>
        <v>17692</v>
      </c>
      <c r="K222" s="16">
        <f>K220+K221</f>
        <v>17692</v>
      </c>
      <c r="L222" s="62"/>
      <c r="M222" s="15" t="s">
        <v>11</v>
      </c>
      <c r="N222" s="16">
        <f>+N220+N221</f>
        <v>19792</v>
      </c>
      <c r="O222" s="16">
        <f>SUM(O220:O221)</f>
        <v>19792</v>
      </c>
      <c r="P222" s="16"/>
      <c r="Q222" s="78">
        <f>O222/2</f>
        <v>9896</v>
      </c>
    </row>
    <row r="223" spans="2:25">
      <c r="B223" s="56"/>
      <c r="C223" s="15" t="s">
        <v>13</v>
      </c>
      <c r="D223" s="16">
        <f>927.42*2</f>
        <v>1854.84</v>
      </c>
      <c r="E223" s="16">
        <f>+(E222/2)*0.145*2</f>
        <v>1854.84</v>
      </c>
      <c r="F223" s="16">
        <f>+(F222/2)*0.145*2</f>
        <v>1854.84</v>
      </c>
      <c r="G223" s="63"/>
      <c r="H223" s="15" t="s">
        <v>13</v>
      </c>
      <c r="I223" s="16">
        <f>927.42*2</f>
        <v>1854.84</v>
      </c>
      <c r="J223" s="16">
        <f>((J222/2)*0.285-992.74)*2</f>
        <v>3056.7399999999993</v>
      </c>
      <c r="K223" s="16">
        <f>((K222/2)*0.285-992.74)*2</f>
        <v>3056.7399999999993</v>
      </c>
      <c r="L223" s="63"/>
      <c r="M223" s="15" t="s">
        <v>13</v>
      </c>
      <c r="N223" s="16">
        <f>3670.92</f>
        <v>3670.92</v>
      </c>
      <c r="O223" s="16">
        <f>((O222/2)*0.285-992.74)*2</f>
        <v>3655.2399999999993</v>
      </c>
      <c r="P223" s="16"/>
    </row>
    <row r="224" spans="2:25">
      <c r="B224" s="56"/>
      <c r="C224" s="15" t="s">
        <v>14</v>
      </c>
      <c r="D224" s="16">
        <f>-D223</f>
        <v>-1854.84</v>
      </c>
      <c r="E224" s="16">
        <f>-((+MIN(((0.075*1000)+MIN(0.075*6000,400)+MIN(0.15*1100,400)+300+250)*2,E223)))</f>
        <v>-1854.84</v>
      </c>
      <c r="F224" s="16">
        <f>-((+MIN(((0.075*1000)+MIN(0.075*6000,400)+MIN(0.15*1100,400)+300+250)*2,F223)))</f>
        <v>-1854.84</v>
      </c>
      <c r="G224" s="62"/>
      <c r="H224" s="15" t="s">
        <v>14</v>
      </c>
      <c r="I224" s="16">
        <f>-I223</f>
        <v>-1854.84</v>
      </c>
      <c r="J224" s="16">
        <f>-MIN(600+MIN(0.3*1100,800)+250*2+0.15*1000+MIN(0.15*6000,(502+(298*(30000-J221)/22909))),J223)</f>
        <v>-2480</v>
      </c>
      <c r="K224" s="16">
        <f>-MIN(600+MIN(0.3*1100,800)+250*2+0.15*1000+MIN(0.15*6000,(800)),K223)</f>
        <v>-2380</v>
      </c>
      <c r="L224" s="62"/>
      <c r="M224" s="15" t="s">
        <v>14</v>
      </c>
      <c r="N224" s="16">
        <v>-2342.87</v>
      </c>
      <c r="O224" s="16">
        <f>-MIN(O223,7.5%*1000+300+250+(MIN(1100*15%,400))+MIN(6000*7.5%,(502+(298*(30000-(O222))/22909))/2))</f>
        <v>-1107.3927713998864</v>
      </c>
      <c r="P224" s="16"/>
    </row>
    <row r="225" spans="2:25">
      <c r="B225" s="56"/>
      <c r="C225" s="15" t="s">
        <v>15</v>
      </c>
      <c r="D225" s="16">
        <f>+D223+D224</f>
        <v>0</v>
      </c>
      <c r="E225" s="16">
        <f>+E223+E224</f>
        <v>0</v>
      </c>
      <c r="F225" s="16">
        <f>F223+F224</f>
        <v>0</v>
      </c>
      <c r="G225" s="62"/>
      <c r="H225" s="15" t="s">
        <v>15</v>
      </c>
      <c r="I225" s="16">
        <f>+I223+I224</f>
        <v>0</v>
      </c>
      <c r="J225" s="16">
        <f>+J223+J224</f>
        <v>576.73999999999933</v>
      </c>
      <c r="K225" s="16">
        <f>+K223+K224</f>
        <v>676.73999999999933</v>
      </c>
      <c r="L225" s="62"/>
      <c r="M225" s="15" t="s">
        <v>15</v>
      </c>
      <c r="N225" s="16">
        <f>+N223+N224</f>
        <v>1328.0500000000002</v>
      </c>
      <c r="O225" s="16">
        <f>+O223+O224</f>
        <v>2547.8472286001129</v>
      </c>
      <c r="P225" s="16"/>
    </row>
    <row r="226" spans="2:25">
      <c r="B226" s="56"/>
      <c r="C226" s="15" t="s">
        <v>16</v>
      </c>
      <c r="D226" s="16">
        <v>0</v>
      </c>
      <c r="E226" s="16">
        <v>0</v>
      </c>
      <c r="F226" s="16">
        <f>0</f>
        <v>0</v>
      </c>
      <c r="G226" s="62"/>
      <c r="H226" s="15" t="s">
        <v>16</v>
      </c>
      <c r="I226" s="16">
        <v>0</v>
      </c>
      <c r="J226" s="16">
        <v>0</v>
      </c>
      <c r="K226" s="16">
        <v>0</v>
      </c>
      <c r="L226" s="62"/>
      <c r="M226" s="15" t="s">
        <v>16</v>
      </c>
      <c r="N226" s="16">
        <v>36.270000000000003</v>
      </c>
      <c r="O226" s="16">
        <v>0</v>
      </c>
      <c r="P226" s="16"/>
    </row>
    <row r="227" spans="2:25">
      <c r="B227" s="56"/>
      <c r="C227" s="15" t="s">
        <v>17</v>
      </c>
      <c r="D227" s="16">
        <f>+D225+D226</f>
        <v>0</v>
      </c>
      <c r="E227" s="16">
        <f>+E225+E226</f>
        <v>0</v>
      </c>
      <c r="F227" s="16">
        <f>+F225+F226</f>
        <v>0</v>
      </c>
      <c r="G227" s="62"/>
      <c r="H227" s="15" t="s">
        <v>17</v>
      </c>
      <c r="I227" s="16">
        <f>+I225+I226</f>
        <v>0</v>
      </c>
      <c r="J227" s="16">
        <f>+J225+J226</f>
        <v>576.73999999999933</v>
      </c>
      <c r="K227" s="16">
        <f>+K225+K226</f>
        <v>676.73999999999933</v>
      </c>
      <c r="L227" s="62"/>
      <c r="M227" s="15" t="s">
        <v>17</v>
      </c>
      <c r="N227" s="16">
        <f>+N225+N226</f>
        <v>1364.3200000000002</v>
      </c>
      <c r="O227" s="16">
        <f>+O225+O226</f>
        <v>2547.8472286001129</v>
      </c>
      <c r="P227" s="16"/>
    </row>
    <row r="228" spans="2:25">
      <c r="B228" s="56"/>
      <c r="C228" s="15" t="s">
        <v>18</v>
      </c>
      <c r="D228" s="16">
        <f>+D214</f>
        <v>2310</v>
      </c>
      <c r="E228" s="16">
        <f>E220*11%</f>
        <v>2310</v>
      </c>
      <c r="F228" s="16">
        <f>F220*11%</f>
        <v>2310</v>
      </c>
      <c r="G228" s="62"/>
      <c r="H228" s="15" t="s">
        <v>18</v>
      </c>
      <c r="I228" s="16">
        <f>+I214</f>
        <v>2310</v>
      </c>
      <c r="J228" s="16">
        <f>J220*0.11</f>
        <v>2849</v>
      </c>
      <c r="K228" s="16">
        <f>K220*0.11</f>
        <v>2849</v>
      </c>
      <c r="L228" s="62"/>
      <c r="M228" s="15" t="s">
        <v>18</v>
      </c>
      <c r="N228" s="16">
        <f>+N214</f>
        <v>3080</v>
      </c>
      <c r="O228" s="16">
        <f>0.11*O220</f>
        <v>3080</v>
      </c>
      <c r="P228" s="16"/>
    </row>
    <row r="229" spans="2:25">
      <c r="B229" s="56"/>
      <c r="C229" s="15" t="s">
        <v>19</v>
      </c>
      <c r="D229" s="16">
        <f>+D220-D227-D228</f>
        <v>18690</v>
      </c>
      <c r="E229" s="16">
        <f>+E220-E227-E228</f>
        <v>18690</v>
      </c>
      <c r="F229" s="16">
        <f>+F220-F227-F228</f>
        <v>18690</v>
      </c>
      <c r="G229" s="62"/>
      <c r="H229" s="15" t="s">
        <v>19</v>
      </c>
      <c r="I229" s="16">
        <f>+I220-I227-I228</f>
        <v>18690</v>
      </c>
      <c r="J229" s="16">
        <f>+J220-J227-J228</f>
        <v>22474.260000000002</v>
      </c>
      <c r="K229" s="16">
        <f>+K220-K227-K228</f>
        <v>22374.260000000002</v>
      </c>
      <c r="L229" s="62"/>
      <c r="M229" s="15" t="s">
        <v>19</v>
      </c>
      <c r="N229" s="16">
        <f>+N220-N227-N228</f>
        <v>23555.68</v>
      </c>
      <c r="O229" s="16">
        <f>+O220-O227-O228</f>
        <v>22372.152771399888</v>
      </c>
      <c r="P229" s="16"/>
      <c r="R229" s="1">
        <v>23555.68</v>
      </c>
      <c r="Y229" s="4">
        <v>137865.44</v>
      </c>
    </row>
    <row r="230" spans="2:25">
      <c r="B230" s="56"/>
      <c r="C230" s="40"/>
      <c r="D230" s="41"/>
      <c r="E230" s="41"/>
      <c r="F230" s="41"/>
      <c r="G230" s="62"/>
      <c r="H230" s="40"/>
      <c r="I230" s="41"/>
      <c r="J230" s="41"/>
      <c r="K230" s="41"/>
      <c r="L230" s="62"/>
      <c r="M230" s="40"/>
      <c r="N230" s="41"/>
      <c r="O230" s="41"/>
      <c r="P230" s="41"/>
    </row>
    <row r="231" spans="2:25">
      <c r="B231" s="56"/>
      <c r="C231" s="58" t="s">
        <v>20</v>
      </c>
      <c r="D231" s="30"/>
      <c r="E231" s="31"/>
      <c r="F231" s="31">
        <f>+F229-E229</f>
        <v>0</v>
      </c>
      <c r="G231" s="64"/>
      <c r="H231" s="58" t="s">
        <v>20</v>
      </c>
      <c r="I231" s="30"/>
      <c r="J231" s="31"/>
      <c r="K231" s="31">
        <f>+K229-J229</f>
        <v>-100</v>
      </c>
      <c r="L231" s="64"/>
      <c r="M231" s="35" t="s">
        <v>20</v>
      </c>
      <c r="N231" s="42"/>
      <c r="O231" s="42"/>
      <c r="P231" s="31">
        <f>+P229-O229</f>
        <v>-22372.152771399888</v>
      </c>
    </row>
    <row r="232" spans="2:25">
      <c r="B232" s="56"/>
      <c r="C232" s="54"/>
      <c r="D232" s="54"/>
      <c r="E232" s="54"/>
      <c r="F232" s="54"/>
      <c r="G232" s="69"/>
      <c r="H232" s="54"/>
      <c r="I232" s="54"/>
      <c r="J232" s="54"/>
      <c r="K232" s="54"/>
      <c r="L232" s="69"/>
      <c r="M232" s="54"/>
      <c r="N232" s="54"/>
      <c r="O232" s="54"/>
      <c r="P232" s="54"/>
    </row>
    <row r="233" spans="2:25">
      <c r="B233" s="56"/>
      <c r="C233" s="44" t="s">
        <v>69</v>
      </c>
      <c r="D233" s="45">
        <v>2016</v>
      </c>
      <c r="E233" s="45">
        <v>2017</v>
      </c>
      <c r="F233" s="45">
        <v>2018</v>
      </c>
      <c r="G233" s="65"/>
      <c r="H233" s="44" t="s">
        <v>70</v>
      </c>
      <c r="I233" s="45">
        <v>2016</v>
      </c>
      <c r="J233" s="45">
        <v>2017</v>
      </c>
      <c r="K233" s="45">
        <v>2018</v>
      </c>
      <c r="L233" s="65"/>
      <c r="M233" s="44" t="s">
        <v>71</v>
      </c>
      <c r="N233" s="45">
        <v>2016</v>
      </c>
      <c r="O233" s="45">
        <v>2017</v>
      </c>
      <c r="P233" s="45">
        <v>2018</v>
      </c>
    </row>
    <row r="234" spans="2:25">
      <c r="B234" s="56"/>
      <c r="C234" s="15" t="s">
        <v>8</v>
      </c>
      <c r="D234" s="16">
        <f>+D220</f>
        <v>21000</v>
      </c>
      <c r="E234" s="16">
        <f>+E220</f>
        <v>21000</v>
      </c>
      <c r="F234" s="16">
        <f>+F220</f>
        <v>21000</v>
      </c>
      <c r="G234" s="62"/>
      <c r="H234" s="15" t="s">
        <v>8</v>
      </c>
      <c r="I234" s="16">
        <f>+I220</f>
        <v>21000</v>
      </c>
      <c r="J234" s="16">
        <f>925*28</f>
        <v>25900</v>
      </c>
      <c r="K234" s="16">
        <f>925*28</f>
        <v>25900</v>
      </c>
      <c r="L234" s="62"/>
      <c r="M234" s="15" t="s">
        <v>8</v>
      </c>
      <c r="N234" s="16">
        <f>+N220</f>
        <v>28000</v>
      </c>
      <c r="O234" s="16">
        <f>+O220</f>
        <v>28000</v>
      </c>
      <c r="P234" s="16"/>
    </row>
    <row r="235" spans="2:25">
      <c r="B235" s="56"/>
      <c r="C235" s="15" t="s">
        <v>10</v>
      </c>
      <c r="D235" s="16">
        <f>+D221</f>
        <v>-8208</v>
      </c>
      <c r="E235" s="16">
        <f>-MAX(8208,E234*11%)</f>
        <v>-8208</v>
      </c>
      <c r="F235" s="16">
        <f>-MAX(8208,F234*11%)</f>
        <v>-8208</v>
      </c>
      <c r="G235" s="62"/>
      <c r="H235" s="15" t="s">
        <v>10</v>
      </c>
      <c r="I235" s="16">
        <f>+I221</f>
        <v>-8208</v>
      </c>
      <c r="J235" s="16">
        <f>-MAX(8208,J234*11%)</f>
        <v>-8208</v>
      </c>
      <c r="K235" s="16">
        <f>-MAX(8208,K234*11%)</f>
        <v>-8208</v>
      </c>
      <c r="L235" s="62"/>
      <c r="M235" s="15" t="s">
        <v>10</v>
      </c>
      <c r="N235" s="16">
        <f>N221</f>
        <v>-8208</v>
      </c>
      <c r="O235" s="16">
        <f>-MAX(4104*2,O219*0.11)</f>
        <v>-8208</v>
      </c>
      <c r="P235" s="16"/>
      <c r="Q235" s="77" t="s">
        <v>31</v>
      </c>
    </row>
    <row r="236" spans="2:25">
      <c r="B236" s="56"/>
      <c r="C236" s="15" t="s">
        <v>11</v>
      </c>
      <c r="D236" s="16">
        <f>+D234+D235</f>
        <v>12792</v>
      </c>
      <c r="E236" s="16">
        <f>+E234+E235</f>
        <v>12792</v>
      </c>
      <c r="F236" s="16">
        <f>+F234+F235</f>
        <v>12792</v>
      </c>
      <c r="G236" s="62"/>
      <c r="H236" s="15" t="s">
        <v>11</v>
      </c>
      <c r="I236" s="16">
        <f>+I234+I235</f>
        <v>12792</v>
      </c>
      <c r="J236" s="16">
        <f>J234+J235</f>
        <v>17692</v>
      </c>
      <c r="K236" s="16">
        <f>K234+K235</f>
        <v>17692</v>
      </c>
      <c r="L236" s="62"/>
      <c r="M236" s="15" t="s">
        <v>11</v>
      </c>
      <c r="N236" s="16">
        <f>+N234+N235</f>
        <v>19792</v>
      </c>
      <c r="O236" s="16">
        <f>SUM(O234:O235)</f>
        <v>19792</v>
      </c>
      <c r="P236" s="16"/>
      <c r="Q236" s="78">
        <f>O236/2</f>
        <v>9896</v>
      </c>
    </row>
    <row r="237" spans="2:25">
      <c r="B237" s="56"/>
      <c r="C237" s="15" t="s">
        <v>13</v>
      </c>
      <c r="D237" s="16">
        <f>+D223</f>
        <v>1854.84</v>
      </c>
      <c r="E237" s="16">
        <f>+(E236/2)*0.145*2</f>
        <v>1854.84</v>
      </c>
      <c r="F237" s="16">
        <f>+(F236/2)*0.145*2</f>
        <v>1854.84</v>
      </c>
      <c r="G237" s="63"/>
      <c r="H237" s="15" t="s">
        <v>13</v>
      </c>
      <c r="I237" s="16">
        <f>+I223</f>
        <v>1854.84</v>
      </c>
      <c r="J237" s="16">
        <f>((J236/2)*0.285-992.74)*2</f>
        <v>3056.7399999999993</v>
      </c>
      <c r="K237" s="16">
        <f>((K236/2)*0.285-992.74)*2</f>
        <v>3056.7399999999993</v>
      </c>
      <c r="L237" s="63"/>
      <c r="M237" s="15" t="s">
        <v>13</v>
      </c>
      <c r="N237" s="16">
        <f>3670.92</f>
        <v>3670.92</v>
      </c>
      <c r="O237" s="16">
        <f>((O236/2)*0.285-992.74)*2</f>
        <v>3655.2399999999993</v>
      </c>
      <c r="P237" s="16"/>
    </row>
    <row r="238" spans="2:25">
      <c r="B238" s="56"/>
      <c r="C238" s="15" t="s">
        <v>14</v>
      </c>
      <c r="D238" s="16">
        <f>-D237</f>
        <v>-1854.84</v>
      </c>
      <c r="E238" s="16">
        <f>-((+MIN(((0.075*1000)+MIN(0.075*6000,400)+MIN(0.15*1100,400)+300+250)*2,E237)))</f>
        <v>-1854.84</v>
      </c>
      <c r="F238" s="16">
        <f>-((+MIN(((0.075*1000)+MIN(0.075*6000,400)+MIN(0.15*1100,400)+300+250)*2,F237)))</f>
        <v>-1854.84</v>
      </c>
      <c r="G238" s="62"/>
      <c r="H238" s="15" t="s">
        <v>14</v>
      </c>
      <c r="I238" s="16">
        <f>-I237</f>
        <v>-1854.84</v>
      </c>
      <c r="J238" s="16">
        <f>-MIN(1200+MIN(0.3*2200,800)+250*2+0.15*1000+MIN(0.15*6000,(502+(298*(30000-J235)/22909))),J237)</f>
        <v>-3056.7399999999993</v>
      </c>
      <c r="K238" s="16">
        <f>-MIN(1200+MIN(0.3*2200,800)+250*2+0.15*1000+MIN(0.15*6000,(502+(298*(30000-K235)/22909))),K237)</f>
        <v>-3056.7399999999993</v>
      </c>
      <c r="L238" s="62"/>
      <c r="M238" s="15" t="s">
        <v>14</v>
      </c>
      <c r="N238" s="16">
        <v>-3272.87</v>
      </c>
      <c r="O238" s="16">
        <f>-MIN(O237,7.5%*1000+300*2+250+(MIN(1100*15%,400)*2)+MIN(6000*7.5%,(502+(298*(30000-(O236))/22909))/2))</f>
        <v>-1572.3927713998864</v>
      </c>
      <c r="P238" s="16"/>
    </row>
    <row r="239" spans="2:25">
      <c r="B239" s="56"/>
      <c r="C239" s="15" t="s">
        <v>15</v>
      </c>
      <c r="D239" s="16">
        <f>+D237+D238</f>
        <v>0</v>
      </c>
      <c r="E239" s="16">
        <f>+E237+E238</f>
        <v>0</v>
      </c>
      <c r="F239" s="16">
        <f>F237+F238</f>
        <v>0</v>
      </c>
      <c r="G239" s="62"/>
      <c r="H239" s="15" t="s">
        <v>15</v>
      </c>
      <c r="I239" s="16">
        <f>+I237+I238</f>
        <v>0</v>
      </c>
      <c r="J239" s="16">
        <f>+J237+J238</f>
        <v>0</v>
      </c>
      <c r="K239" s="16">
        <f>+K237+K238</f>
        <v>0</v>
      </c>
      <c r="L239" s="62"/>
      <c r="M239" s="15" t="s">
        <v>15</v>
      </c>
      <c r="N239" s="16">
        <f>+N237+N238</f>
        <v>398.05000000000018</v>
      </c>
      <c r="O239" s="16">
        <f>+O237+O238</f>
        <v>2082.8472286001129</v>
      </c>
      <c r="P239" s="16"/>
    </row>
    <row r="240" spans="2:25">
      <c r="B240" s="56"/>
      <c r="C240" s="15" t="s">
        <v>16</v>
      </c>
      <c r="D240" s="16">
        <v>0</v>
      </c>
      <c r="E240" s="16">
        <v>0</v>
      </c>
      <c r="F240" s="16">
        <f>0</f>
        <v>0</v>
      </c>
      <c r="G240" s="62"/>
      <c r="H240" s="15" t="s">
        <v>16</v>
      </c>
      <c r="I240" s="16">
        <v>0</v>
      </c>
      <c r="J240" s="16">
        <v>0</v>
      </c>
      <c r="K240" s="16">
        <v>0</v>
      </c>
      <c r="L240" s="62"/>
      <c r="M240" s="15" t="s">
        <v>16</v>
      </c>
      <c r="N240" s="16">
        <v>23.02</v>
      </c>
      <c r="O240" s="16">
        <v>0</v>
      </c>
      <c r="P240" s="16"/>
    </row>
    <row r="241" spans="2:25">
      <c r="B241" s="56"/>
      <c r="C241" s="15" t="s">
        <v>17</v>
      </c>
      <c r="D241" s="16">
        <f>+D239+D240</f>
        <v>0</v>
      </c>
      <c r="E241" s="16">
        <f>+E239+E240</f>
        <v>0</v>
      </c>
      <c r="F241" s="16">
        <f>+F239+F240</f>
        <v>0</v>
      </c>
      <c r="G241" s="62"/>
      <c r="H241" s="15" t="s">
        <v>17</v>
      </c>
      <c r="I241" s="16">
        <f>+I239+I240</f>
        <v>0</v>
      </c>
      <c r="J241" s="16">
        <f>+J239+J240</f>
        <v>0</v>
      </c>
      <c r="K241" s="16">
        <f>+K239+K240</f>
        <v>0</v>
      </c>
      <c r="L241" s="62"/>
      <c r="M241" s="15" t="s">
        <v>17</v>
      </c>
      <c r="N241" s="16">
        <f>+N239+N240</f>
        <v>421.07000000000016</v>
      </c>
      <c r="O241" s="16">
        <f>+O239+O240</f>
        <v>2082.8472286001129</v>
      </c>
      <c r="P241" s="16"/>
    </row>
    <row r="242" spans="2:25">
      <c r="B242" s="56"/>
      <c r="C242" s="15" t="s">
        <v>18</v>
      </c>
      <c r="D242" s="16">
        <f>+D228</f>
        <v>2310</v>
      </c>
      <c r="E242" s="16">
        <f>E234*11%</f>
        <v>2310</v>
      </c>
      <c r="F242" s="16">
        <f>F234*11%</f>
        <v>2310</v>
      </c>
      <c r="G242" s="62"/>
      <c r="H242" s="15" t="s">
        <v>18</v>
      </c>
      <c r="I242" s="16">
        <f>+I228</f>
        <v>2310</v>
      </c>
      <c r="J242" s="16">
        <f>J234*0.11</f>
        <v>2849</v>
      </c>
      <c r="K242" s="16">
        <f>K234*0.11</f>
        <v>2849</v>
      </c>
      <c r="L242" s="62"/>
      <c r="M242" s="15" t="s">
        <v>18</v>
      </c>
      <c r="N242" s="16">
        <f>+N228</f>
        <v>3080</v>
      </c>
      <c r="O242" s="16">
        <f>0.11*O234</f>
        <v>3080</v>
      </c>
      <c r="P242" s="16"/>
    </row>
    <row r="243" spans="2:25">
      <c r="B243" s="56"/>
      <c r="C243" s="15" t="s">
        <v>19</v>
      </c>
      <c r="D243" s="16">
        <f>+D234-D241-D242</f>
        <v>18690</v>
      </c>
      <c r="E243" s="16">
        <f>+E234-E241-E242</f>
        <v>18690</v>
      </c>
      <c r="F243" s="16">
        <f>+F234-F241-F242</f>
        <v>18690</v>
      </c>
      <c r="G243" s="62"/>
      <c r="H243" s="15" t="s">
        <v>19</v>
      </c>
      <c r="I243" s="16">
        <f>+I234-I241-I242</f>
        <v>18690</v>
      </c>
      <c r="J243" s="16">
        <f>+J234-J241-J242</f>
        <v>23051</v>
      </c>
      <c r="K243" s="16">
        <f>+K234-K241-K242</f>
        <v>23051</v>
      </c>
      <c r="L243" s="62"/>
      <c r="M243" s="15" t="s">
        <v>19</v>
      </c>
      <c r="N243" s="16">
        <f>+N234-N241-N242</f>
        <v>24498.93</v>
      </c>
      <c r="O243" s="16">
        <f>+O234-O241-O242</f>
        <v>22837.152771399888</v>
      </c>
      <c r="P243" s="16"/>
      <c r="R243" s="1">
        <v>24498.93</v>
      </c>
      <c r="Y243" s="4">
        <v>138808.70000000001</v>
      </c>
    </row>
    <row r="244" spans="2:25">
      <c r="B244" s="56"/>
      <c r="C244" s="40"/>
      <c r="D244" s="41"/>
      <c r="E244" s="41"/>
      <c r="F244" s="41"/>
      <c r="G244" s="62"/>
      <c r="H244" s="40"/>
      <c r="I244" s="41"/>
      <c r="J244" s="41"/>
      <c r="K244" s="41"/>
      <c r="L244" s="62"/>
      <c r="M244" s="40"/>
      <c r="N244" s="41"/>
      <c r="O244" s="41"/>
      <c r="P244" s="41"/>
    </row>
    <row r="245" spans="2:25">
      <c r="B245" s="56"/>
      <c r="C245" s="58" t="s">
        <v>20</v>
      </c>
      <c r="D245" s="30"/>
      <c r="E245" s="31"/>
      <c r="F245" s="31">
        <f>+F243-E243</f>
        <v>0</v>
      </c>
      <c r="G245" s="64"/>
      <c r="H245" s="58" t="s">
        <v>20</v>
      </c>
      <c r="I245" s="30"/>
      <c r="J245" s="31"/>
      <c r="K245" s="31">
        <f>+K243-J243</f>
        <v>0</v>
      </c>
      <c r="L245" s="64"/>
      <c r="M245" s="35" t="s">
        <v>20</v>
      </c>
      <c r="N245" s="42"/>
      <c r="O245" s="42"/>
      <c r="P245" s="31">
        <f>+P243-O243</f>
        <v>-22837.152771399888</v>
      </c>
    </row>
    <row r="246" spans="2:25">
      <c r="B246" s="56"/>
      <c r="C246" s="54"/>
      <c r="D246" s="54"/>
      <c r="E246" s="54"/>
      <c r="F246" s="54"/>
      <c r="G246" s="69"/>
      <c r="H246" s="54"/>
      <c r="I246" s="54"/>
      <c r="J246" s="54"/>
      <c r="K246" s="54"/>
      <c r="L246" s="69"/>
      <c r="M246" s="54"/>
      <c r="N246" s="54"/>
      <c r="O246" s="54"/>
      <c r="P246" s="54"/>
    </row>
    <row r="247" spans="2:25">
      <c r="B247" s="56"/>
      <c r="C247" s="70" t="s">
        <v>72</v>
      </c>
      <c r="D247" s="71">
        <v>2016</v>
      </c>
      <c r="E247" s="71">
        <v>2017</v>
      </c>
      <c r="F247" s="71">
        <v>2018</v>
      </c>
      <c r="G247" s="72"/>
      <c r="H247" s="70" t="s">
        <v>73</v>
      </c>
      <c r="I247" s="71">
        <v>2016</v>
      </c>
      <c r="J247" s="71">
        <v>2017</v>
      </c>
      <c r="K247" s="71">
        <v>2018</v>
      </c>
      <c r="L247" s="65"/>
      <c r="M247" s="44" t="s">
        <v>74</v>
      </c>
      <c r="N247" s="45">
        <v>2016</v>
      </c>
      <c r="O247" s="45">
        <v>2017</v>
      </c>
      <c r="P247" s="45">
        <v>2018</v>
      </c>
    </row>
    <row r="248" spans="2:25">
      <c r="B248" s="56"/>
      <c r="C248" s="73" t="s">
        <v>8</v>
      </c>
      <c r="D248" s="74">
        <f>+D234</f>
        <v>21000</v>
      </c>
      <c r="E248" s="74">
        <f>+E234</f>
        <v>21000</v>
      </c>
      <c r="F248" s="74">
        <f>+F234</f>
        <v>21000</v>
      </c>
      <c r="G248" s="75"/>
      <c r="H248" s="73" t="s">
        <v>8</v>
      </c>
      <c r="I248" s="74">
        <f>+I234</f>
        <v>21000</v>
      </c>
      <c r="J248" s="74"/>
      <c r="K248" s="74"/>
      <c r="L248" s="62"/>
      <c r="M248" s="15" t="s">
        <v>8</v>
      </c>
      <c r="N248" s="16">
        <f>+N234</f>
        <v>28000</v>
      </c>
      <c r="O248" s="16">
        <f>+O234</f>
        <v>28000</v>
      </c>
      <c r="P248" s="16"/>
      <c r="Q248" s="57">
        <f>+N250</f>
        <v>19792</v>
      </c>
      <c r="R248" s="57">
        <v>11320</v>
      </c>
      <c r="S248" s="57">
        <f>+N250/2</f>
        <v>9896</v>
      </c>
    </row>
    <row r="249" spans="2:25">
      <c r="B249" s="56"/>
      <c r="C249" s="73" t="s">
        <v>10</v>
      </c>
      <c r="D249" s="74">
        <f>+D235</f>
        <v>-8208</v>
      </c>
      <c r="E249" s="74">
        <f>+E235</f>
        <v>-8208</v>
      </c>
      <c r="F249" s="74"/>
      <c r="G249" s="75"/>
      <c r="H249" s="73" t="s">
        <v>10</v>
      </c>
      <c r="I249" s="74">
        <f>+I235</f>
        <v>-8208</v>
      </c>
      <c r="J249" s="74"/>
      <c r="K249" s="74"/>
      <c r="L249" s="62"/>
      <c r="M249" s="15" t="s">
        <v>10</v>
      </c>
      <c r="N249" s="16">
        <f>+N235</f>
        <v>-8208</v>
      </c>
      <c r="O249" s="16">
        <f>-MAX(4104*2,O233*0.11)</f>
        <v>-8208</v>
      </c>
      <c r="P249" s="16"/>
      <c r="Q249" s="77" t="s">
        <v>31</v>
      </c>
      <c r="R249" s="57">
        <f>+R248/2</f>
        <v>5660</v>
      </c>
      <c r="S249" s="57">
        <f>+S248*0.285-984.9</f>
        <v>1835.4599999999996</v>
      </c>
    </row>
    <row r="250" spans="2:25">
      <c r="B250" s="56"/>
      <c r="C250" s="73" t="s">
        <v>11</v>
      </c>
      <c r="D250" s="74">
        <f>+D248+D249</f>
        <v>12792</v>
      </c>
      <c r="E250" s="74">
        <f>+E248+E249</f>
        <v>12792</v>
      </c>
      <c r="F250" s="74"/>
      <c r="G250" s="75"/>
      <c r="H250" s="73" t="s">
        <v>11</v>
      </c>
      <c r="I250" s="74">
        <f>+I248+I249</f>
        <v>12792</v>
      </c>
      <c r="J250" s="74"/>
      <c r="K250" s="74"/>
      <c r="L250" s="62"/>
      <c r="M250" s="15" t="s">
        <v>11</v>
      </c>
      <c r="N250" s="16">
        <f>+N248+N249</f>
        <v>19792</v>
      </c>
      <c r="O250" s="16">
        <f>SUM(O248:O249)</f>
        <v>19792</v>
      </c>
      <c r="P250" s="16"/>
      <c r="Q250" s="78">
        <f>O250/2</f>
        <v>9896</v>
      </c>
      <c r="R250" s="57"/>
      <c r="S250" s="57">
        <f>+S249*2</f>
        <v>3670.9199999999992</v>
      </c>
    </row>
    <row r="251" spans="2:25">
      <c r="B251" s="56"/>
      <c r="C251" s="73" t="s">
        <v>13</v>
      </c>
      <c r="D251" s="74">
        <f>+D237</f>
        <v>1854.84</v>
      </c>
      <c r="E251" s="74">
        <f>+E237</f>
        <v>1854.84</v>
      </c>
      <c r="F251" s="74"/>
      <c r="G251" s="76"/>
      <c r="H251" s="73" t="s">
        <v>13</v>
      </c>
      <c r="I251" s="74">
        <f>+I237</f>
        <v>1854.84</v>
      </c>
      <c r="J251" s="74"/>
      <c r="K251" s="74"/>
      <c r="L251" s="63"/>
      <c r="M251" s="15" t="s">
        <v>13</v>
      </c>
      <c r="N251" s="16">
        <f>3670.92</f>
        <v>3670.92</v>
      </c>
      <c r="O251" s="16">
        <f>((O250/2)*0.285-992.74)*2</f>
        <v>3655.2399999999993</v>
      </c>
      <c r="P251" s="16"/>
      <c r="R251" s="57"/>
      <c r="S251" s="57">
        <f>+N248-S250</f>
        <v>24329.08</v>
      </c>
    </row>
    <row r="252" spans="2:25">
      <c r="B252" s="56"/>
      <c r="C252" s="73" t="s">
        <v>14</v>
      </c>
      <c r="D252" s="74">
        <f>-D251</f>
        <v>-1854.84</v>
      </c>
      <c r="E252" s="74">
        <f>-E251</f>
        <v>-1854.84</v>
      </c>
      <c r="F252" s="74"/>
      <c r="G252" s="75"/>
      <c r="H252" s="73" t="s">
        <v>14</v>
      </c>
      <c r="I252" s="74">
        <f>-I251</f>
        <v>-1854.84</v>
      </c>
      <c r="J252" s="74"/>
      <c r="K252" s="74"/>
      <c r="L252" s="62"/>
      <c r="M252" s="15" t="s">
        <v>14</v>
      </c>
      <c r="N252" s="16">
        <v>-3670.92</v>
      </c>
      <c r="O252" s="16">
        <f>-MIN(O251,7.5%*1000+300*3+250+(MIN(1100*15%,400)*3)+MIN(6000*7.5%,(502+(298*(30000-(O250))/22909))/2))</f>
        <v>-2037.3927713998864</v>
      </c>
      <c r="P252" s="16"/>
      <c r="R252" s="57"/>
      <c r="S252" s="57">
        <f>+S251/2</f>
        <v>12164.54</v>
      </c>
    </row>
    <row r="253" spans="2:25">
      <c r="B253" s="56"/>
      <c r="C253" s="73" t="s">
        <v>15</v>
      </c>
      <c r="D253" s="74">
        <f>+D251+D252</f>
        <v>0</v>
      </c>
      <c r="E253" s="74">
        <f>+E251+E252</f>
        <v>0</v>
      </c>
      <c r="F253" s="74"/>
      <c r="G253" s="75"/>
      <c r="H253" s="73" t="s">
        <v>15</v>
      </c>
      <c r="I253" s="74">
        <f>+I251+I252</f>
        <v>0</v>
      </c>
      <c r="J253" s="74"/>
      <c r="K253" s="74"/>
      <c r="L253" s="62"/>
      <c r="M253" s="15" t="s">
        <v>15</v>
      </c>
      <c r="N253" s="16">
        <f>+N251+N252</f>
        <v>0</v>
      </c>
      <c r="O253" s="16">
        <f>+O251+O252</f>
        <v>1617.8472286001129</v>
      </c>
      <c r="P253" s="16"/>
      <c r="R253" s="57"/>
    </row>
    <row r="254" spans="2:25">
      <c r="B254" s="56"/>
      <c r="C254" s="73" t="s">
        <v>16</v>
      </c>
      <c r="D254" s="74">
        <v>0</v>
      </c>
      <c r="E254" s="74">
        <v>0</v>
      </c>
      <c r="F254" s="74"/>
      <c r="G254" s="75"/>
      <c r="H254" s="73" t="s">
        <v>16</v>
      </c>
      <c r="I254" s="74">
        <v>0</v>
      </c>
      <c r="J254" s="74"/>
      <c r="K254" s="74"/>
      <c r="L254" s="62"/>
      <c r="M254" s="15" t="s">
        <v>16</v>
      </c>
      <c r="N254" s="16">
        <v>9.77</v>
      </c>
      <c r="O254" s="16">
        <v>0</v>
      </c>
      <c r="P254" s="16"/>
      <c r="R254" s="57"/>
    </row>
    <row r="255" spans="2:25">
      <c r="B255" s="56"/>
      <c r="C255" s="73" t="s">
        <v>17</v>
      </c>
      <c r="D255" s="74">
        <f>+D253+D254</f>
        <v>0</v>
      </c>
      <c r="E255" s="74">
        <f>+E253+E254</f>
        <v>0</v>
      </c>
      <c r="F255" s="74"/>
      <c r="G255" s="75"/>
      <c r="H255" s="73" t="s">
        <v>17</v>
      </c>
      <c r="I255" s="74">
        <f>+I253+I254</f>
        <v>0</v>
      </c>
      <c r="J255" s="74"/>
      <c r="K255" s="74"/>
      <c r="L255" s="62"/>
      <c r="M255" s="15" t="s">
        <v>17</v>
      </c>
      <c r="N255" s="16">
        <f>+N253+N254</f>
        <v>9.77</v>
      </c>
      <c r="O255" s="16">
        <f>+O253+O254</f>
        <v>1617.8472286001129</v>
      </c>
      <c r="P255" s="16"/>
      <c r="R255" s="57"/>
    </row>
    <row r="256" spans="2:25">
      <c r="B256" s="56"/>
      <c r="C256" s="73" t="s">
        <v>18</v>
      </c>
      <c r="D256" s="74">
        <f>+D242</f>
        <v>2310</v>
      </c>
      <c r="E256" s="74">
        <f>+E242</f>
        <v>2310</v>
      </c>
      <c r="F256" s="74"/>
      <c r="G256" s="75"/>
      <c r="H256" s="73" t="s">
        <v>18</v>
      </c>
      <c r="I256" s="74">
        <f>+I242</f>
        <v>2310</v>
      </c>
      <c r="J256" s="74"/>
      <c r="K256" s="74"/>
      <c r="L256" s="62"/>
      <c r="M256" s="15" t="s">
        <v>18</v>
      </c>
      <c r="N256" s="16">
        <f>+N242</f>
        <v>3080</v>
      </c>
      <c r="O256" s="16">
        <f>0.11*O248</f>
        <v>3080</v>
      </c>
      <c r="P256" s="16"/>
      <c r="R256" s="57"/>
    </row>
    <row r="257" spans="2:25">
      <c r="B257" s="56"/>
      <c r="C257" s="73" t="s">
        <v>19</v>
      </c>
      <c r="D257" s="74">
        <f>+D248-D255-D256</f>
        <v>18690</v>
      </c>
      <c r="E257" s="74">
        <f>+E248-E255-E256</f>
        <v>18690</v>
      </c>
      <c r="F257" s="74"/>
      <c r="G257" s="75"/>
      <c r="H257" s="73" t="s">
        <v>19</v>
      </c>
      <c r="I257" s="74">
        <f>+I248-I255-I256</f>
        <v>18690</v>
      </c>
      <c r="J257" s="74"/>
      <c r="K257" s="74"/>
      <c r="L257" s="62"/>
      <c r="M257" s="15" t="s">
        <v>19</v>
      </c>
      <c r="N257" s="16">
        <f>+N248-N255-N256</f>
        <v>24910.23</v>
      </c>
      <c r="O257" s="16">
        <f>+O248-O255-O256</f>
        <v>23302.152771399888</v>
      </c>
      <c r="P257" s="16"/>
      <c r="R257" s="1">
        <v>24910.23</v>
      </c>
      <c r="Y257" s="4">
        <v>139561.94</v>
      </c>
    </row>
    <row r="258" spans="2:25">
      <c r="B258" s="56"/>
      <c r="C258" s="40"/>
      <c r="D258" s="41"/>
      <c r="E258" s="41"/>
      <c r="F258" s="41"/>
      <c r="G258" s="62"/>
      <c r="H258" s="40"/>
      <c r="I258" s="41"/>
      <c r="J258" s="41"/>
      <c r="K258" s="41"/>
      <c r="L258" s="62"/>
      <c r="M258" s="40"/>
      <c r="N258" s="41"/>
      <c r="O258" s="41"/>
      <c r="P258" s="41"/>
    </row>
    <row r="259" spans="2:25">
      <c r="B259" s="56"/>
      <c r="C259" s="58" t="s">
        <v>20</v>
      </c>
      <c r="D259" s="30"/>
      <c r="E259" s="31"/>
      <c r="F259" s="31">
        <f>+F257-E257</f>
        <v>-18690</v>
      </c>
      <c r="G259" s="64"/>
      <c r="H259" s="58" t="s">
        <v>20</v>
      </c>
      <c r="I259" s="30"/>
      <c r="J259" s="31"/>
      <c r="K259" s="31">
        <f>+K257-J257</f>
        <v>0</v>
      </c>
      <c r="L259" s="64"/>
      <c r="M259" s="35" t="s">
        <v>20</v>
      </c>
      <c r="N259" s="42"/>
      <c r="O259" s="42"/>
      <c r="P259" s="31">
        <f>+P257-O257</f>
        <v>-23302.152771399888</v>
      </c>
    </row>
    <row r="260" spans="2:25">
      <c r="G260" s="68"/>
      <c r="L260" s="68"/>
    </row>
    <row r="261" spans="2:25">
      <c r="G261" s="68"/>
      <c r="L261" s="68"/>
    </row>
    <row r="262" spans="2:25">
      <c r="G262" s="68"/>
      <c r="L262" s="68"/>
    </row>
    <row r="263" spans="2:25">
      <c r="G263" s="68"/>
      <c r="L263" s="68"/>
    </row>
    <row r="264" spans="2:25">
      <c r="G264" s="68"/>
      <c r="L264" s="68"/>
    </row>
    <row r="265" spans="2:25">
      <c r="G265" s="68"/>
      <c r="L265" s="68"/>
    </row>
    <row r="266" spans="2:25">
      <c r="G266" s="68"/>
      <c r="L266" s="68"/>
    </row>
    <row r="267" spans="2:25">
      <c r="G267" s="68"/>
      <c r="L267" s="68"/>
    </row>
    <row r="268" spans="2:25">
      <c r="G268" s="68"/>
      <c r="L268" s="68"/>
    </row>
    <row r="269" spans="2:25">
      <c r="G269" s="68"/>
      <c r="L269" s="68"/>
    </row>
    <row r="270" spans="2:25">
      <c r="G270" s="68"/>
      <c r="L270" s="68"/>
    </row>
    <row r="271" spans="2:25">
      <c r="G271" s="68"/>
      <c r="L271" s="68"/>
    </row>
    <row r="272" spans="2:25">
      <c r="G272" s="68"/>
      <c r="L272" s="68"/>
    </row>
    <row r="273" spans="7:12">
      <c r="G273" s="68"/>
      <c r="L273" s="68"/>
    </row>
    <row r="274" spans="7:12">
      <c r="G274" s="68"/>
      <c r="L274" s="68"/>
    </row>
    <row r="275" spans="7:12">
      <c r="G275" s="68"/>
      <c r="L275" s="68"/>
    </row>
    <row r="276" spans="7:12">
      <c r="G276" s="68"/>
      <c r="L276" s="68"/>
    </row>
    <row r="277" spans="7:12">
      <c r="G277" s="68"/>
      <c r="L277" s="68"/>
    </row>
    <row r="278" spans="7:12">
      <c r="G278" s="68"/>
      <c r="L278" s="68"/>
    </row>
    <row r="279" spans="7:12">
      <c r="G279" s="68"/>
      <c r="L279" s="68"/>
    </row>
    <row r="280" spans="7:12">
      <c r="G280" s="68"/>
      <c r="L280" s="68"/>
    </row>
    <row r="281" spans="7:12">
      <c r="G281" s="68"/>
      <c r="L281" s="68"/>
    </row>
    <row r="282" spans="7:12">
      <c r="G282" s="68"/>
      <c r="L282" s="68"/>
    </row>
    <row r="283" spans="7:12">
      <c r="G283" s="68"/>
      <c r="L283" s="68"/>
    </row>
    <row r="284" spans="7:12">
      <c r="G284" s="68"/>
      <c r="L284" s="68"/>
    </row>
    <row r="285" spans="7:12">
      <c r="G285" s="68"/>
      <c r="L285" s="68"/>
    </row>
    <row r="286" spans="7:12">
      <c r="G286" s="68"/>
      <c r="L286" s="68"/>
    </row>
  </sheetData>
  <customSheetViews>
    <customSheetView guid="{56FACD3C-9001-4055-A8AA-B3B94EAD2792}" scale="80" showPageBreaks="1" showGridLines="0" fitToPage="1" printArea="1" hiddenRows="1" hiddenColumns="1" state="hidden" topLeftCell="G208">
      <selection activeCell="K233" sqref="K233"/>
      <pageMargins left="0" right="0" top="0" bottom="0" header="0" footer="0"/>
      <pageSetup paperSize="9" scale="22" orientation="landscape" r:id="rId1"/>
    </customSheetView>
    <customSheetView guid="{581F33E2-4A4B-496B-8B2E-722B7C38F384}" scale="80" showPageBreaks="1" showGridLines="0" fitToPage="1" printArea="1" hiddenRows="1" hiddenColumns="1" topLeftCell="G2">
      <selection activeCell="H16" sqref="H16"/>
      <pageMargins left="0" right="0" top="0" bottom="0" header="0" footer="0"/>
      <pageSetup paperSize="9" scale="22" orientation="landscape" r:id="rId2"/>
    </customSheetView>
    <customSheetView guid="{A48963CF-4977-458C-9D3B-4D6252DE1151}" showPageBreaks="1" showGridLines="0" fitToPage="1" printArea="1" hiddenRows="1" hiddenColumns="1" topLeftCell="C237">
      <selection activeCell="E252" sqref="E252"/>
      <pageMargins left="0" right="0" top="0" bottom="0" header="0" footer="0"/>
      <pageSetup paperSize="9" scale="22" orientation="landscape" r:id="rId3"/>
    </customSheetView>
    <customSheetView guid="{95F369EB-44AD-4D1E-9BB3-2EC613DAAB38}" scale="80" showPageBreaks="1" showGridLines="0" fitToPage="1" printArea="1" hiddenRows="1" hiddenColumns="1" topLeftCell="G133">
      <selection activeCell="J146" sqref="J146"/>
      <pageMargins left="0" right="0" top="0" bottom="0" header="0" footer="0"/>
      <pageSetup paperSize="9" scale="23" orientation="landscape" r:id="rId4"/>
    </customSheetView>
    <customSheetView guid="{F094A2D5-50C3-47EB-9FF5-8DD980D2D44F}" scale="80" showPageBreaks="1" showGridLines="0" fitToPage="1" printArea="1" hiddenRows="1" hiddenColumns="1" state="hidden" topLeftCell="G2">
      <selection activeCell="T10" sqref="T10"/>
      <pageMargins left="0" right="0" top="0" bottom="0" header="0" footer="0"/>
      <pageSetup paperSize="9" scale="22" orientation="landscape" r:id="rId5"/>
    </customSheetView>
    <customSheetView guid="{4A59CFF7-D635-4C1A-BBE7-B201AEE8AAAA}" showPageBreaks="1" showGridLines="0" fitToPage="1" printArea="1" hiddenRows="1" hiddenColumns="1" topLeftCell="C1">
      <selection activeCell="G6" sqref="G6"/>
      <pageMargins left="0" right="0" top="0" bottom="0" header="0" footer="0"/>
      <pageSetup paperSize="9" scale="23" orientation="landscape" r:id="rId6"/>
    </customSheetView>
    <customSheetView guid="{C3FC3C76-D3C0-4F41-8D0D-D5CFAFA57C4E}" showPageBreaks="1" showGridLines="0" fitToPage="1" printArea="1" hiddenRows="1" hiddenColumns="1" state="hidden">
      <selection activeCell="A27" sqref="A27"/>
      <pageMargins left="0" right="0" top="0" bottom="0" header="0" footer="0"/>
      <pageSetup paperSize="9" scale="22" orientation="landscape" r:id="rId7"/>
    </customSheetView>
  </customSheetViews>
  <mergeCells count="5">
    <mergeCell ref="B7:B9"/>
    <mergeCell ref="B51:B53"/>
    <mergeCell ref="B93:B95"/>
    <mergeCell ref="B135:B136"/>
    <mergeCell ref="B205:B206"/>
  </mergeCells>
  <pageMargins left="0.70866141732283472" right="0.70866141732283472" top="0.74803149606299213" bottom="0.74803149606299213" header="0.31496062992125984" footer="0.31496062992125984"/>
  <pageSetup paperSize="9" scale="22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A1CF9-8AA7-4AB6-828D-C29CB9A57852}">
  <dimension ref="B4:AI71"/>
  <sheetViews>
    <sheetView tabSelected="1" topLeftCell="W28" zoomScaleNormal="100" workbookViewId="0">
      <selection activeCell="Z28" sqref="Z28"/>
    </sheetView>
  </sheetViews>
  <sheetFormatPr defaultColWidth="8.625" defaultRowHeight="15.75"/>
  <cols>
    <col min="1" max="1" width="9.125" style="81" customWidth="1"/>
    <col min="2" max="2" width="51.875" style="81" customWidth="1"/>
    <col min="3" max="3" width="14.25" style="94" customWidth="1"/>
    <col min="4" max="5" width="14.25" style="81" customWidth="1"/>
    <col min="6" max="6" width="9.125" style="85" customWidth="1"/>
    <col min="7" max="7" width="51.875" style="81" customWidth="1"/>
    <col min="8" max="10" width="14.25" style="81" customWidth="1"/>
    <col min="11" max="11" width="9.125" style="81" customWidth="1"/>
    <col min="12" max="12" width="51.875" style="81" customWidth="1"/>
    <col min="13" max="15" width="14.25" style="81" customWidth="1"/>
    <col min="16" max="16" width="9.125" style="81" customWidth="1"/>
    <col min="17" max="17" width="51.875" style="81" customWidth="1"/>
    <col min="18" max="20" width="14.25" style="81" customWidth="1"/>
    <col min="21" max="21" width="9.125" style="81" customWidth="1"/>
    <col min="22" max="22" width="51.875" style="81" customWidth="1"/>
    <col min="23" max="23" width="14.25" style="94" customWidth="1"/>
    <col min="24" max="25" width="14.25" style="81" customWidth="1"/>
    <col min="26" max="26" width="9.125" style="85" customWidth="1"/>
    <col min="27" max="27" width="51.875" style="81" customWidth="1"/>
    <col min="28" max="28" width="14.25" style="94" customWidth="1"/>
    <col min="29" max="30" width="14.25" style="81" customWidth="1"/>
    <col min="31" max="31" width="9.125" style="81" customWidth="1"/>
    <col min="32" max="32" width="13.125" style="91" customWidth="1"/>
    <col min="33" max="33" width="11.125" style="85" bestFit="1" customWidth="1"/>
    <col min="34" max="34" width="9.875" style="81" bestFit="1" customWidth="1"/>
    <col min="35" max="16384" width="8.625" style="81"/>
  </cols>
  <sheetData>
    <row r="4" spans="2:33">
      <c r="M4" s="82"/>
      <c r="N4" s="82"/>
      <c r="R4" s="82"/>
      <c r="S4" s="82"/>
      <c r="W4" s="82"/>
      <c r="X4" s="82"/>
      <c r="AB4" s="82"/>
      <c r="AC4" s="82"/>
      <c r="AG4" s="95"/>
    </row>
    <row r="5" spans="2:33">
      <c r="C5" s="98"/>
      <c r="H5" s="82"/>
      <c r="M5" s="82"/>
      <c r="R5" s="82"/>
      <c r="W5" s="82"/>
      <c r="AB5" s="82"/>
    </row>
    <row r="6" spans="2:33">
      <c r="W6" s="81"/>
      <c r="AB6" s="81"/>
    </row>
    <row r="7" spans="2:33">
      <c r="H7" s="82"/>
      <c r="I7" s="82"/>
      <c r="M7" s="82"/>
      <c r="N7" s="82"/>
      <c r="R7" s="82"/>
      <c r="S7" s="82"/>
      <c r="W7" s="82"/>
      <c r="X7" s="82"/>
      <c r="AB7" s="82"/>
      <c r="AC7" s="82"/>
    </row>
    <row r="8" spans="2:33">
      <c r="B8" s="80" t="s">
        <v>5</v>
      </c>
      <c r="C8" s="93">
        <v>2020</v>
      </c>
      <c r="D8" s="80">
        <v>2021</v>
      </c>
      <c r="E8" s="80" t="s">
        <v>127</v>
      </c>
      <c r="F8" s="86" t="s">
        <v>75</v>
      </c>
      <c r="G8" s="80" t="s">
        <v>76</v>
      </c>
      <c r="H8" s="93">
        <v>2020</v>
      </c>
      <c r="I8" s="80">
        <v>2021</v>
      </c>
      <c r="J8" s="80" t="s">
        <v>127</v>
      </c>
      <c r="L8" s="80" t="s">
        <v>77</v>
      </c>
      <c r="M8" s="93">
        <v>2020</v>
      </c>
      <c r="N8" s="80">
        <v>2021</v>
      </c>
      <c r="O8" s="80" t="s">
        <v>127</v>
      </c>
      <c r="Q8" s="80" t="s">
        <v>78</v>
      </c>
      <c r="R8" s="93">
        <v>2020</v>
      </c>
      <c r="S8" s="80">
        <v>2021</v>
      </c>
      <c r="T8" s="80" t="s">
        <v>127</v>
      </c>
      <c r="V8" s="80" t="s">
        <v>79</v>
      </c>
      <c r="W8" s="93">
        <v>2020</v>
      </c>
      <c r="X8" s="80">
        <v>2021</v>
      </c>
      <c r="Y8" s="80" t="s">
        <v>127</v>
      </c>
      <c r="Z8" s="90" t="s">
        <v>75</v>
      </c>
      <c r="AA8" s="80" t="s">
        <v>80</v>
      </c>
      <c r="AB8" s="93">
        <v>2020</v>
      </c>
      <c r="AC8" s="80">
        <v>2021</v>
      </c>
      <c r="AD8" s="80" t="s">
        <v>127</v>
      </c>
      <c r="AG8" s="87" t="s">
        <v>75</v>
      </c>
    </row>
    <row r="9" spans="2:33">
      <c r="B9" s="99" t="s">
        <v>8</v>
      </c>
      <c r="C9" s="100">
        <v>925</v>
      </c>
      <c r="D9" s="101">
        <v>925</v>
      </c>
      <c r="E9" s="102">
        <v>0</v>
      </c>
      <c r="F9" s="87">
        <v>14000</v>
      </c>
      <c r="G9" s="99" t="s">
        <v>8</v>
      </c>
      <c r="H9" s="100">
        <v>1500</v>
      </c>
      <c r="I9" s="101">
        <v>1500</v>
      </c>
      <c r="J9" s="102">
        <v>0</v>
      </c>
      <c r="L9" s="99" t="s">
        <v>8</v>
      </c>
      <c r="M9" s="101">
        <v>2000</v>
      </c>
      <c r="N9" s="101">
        <v>2000</v>
      </c>
      <c r="O9" s="102">
        <v>0</v>
      </c>
      <c r="Q9" s="99" t="s">
        <v>8</v>
      </c>
      <c r="R9" s="100">
        <v>3000</v>
      </c>
      <c r="S9" s="101">
        <v>3000</v>
      </c>
      <c r="T9" s="102">
        <v>0</v>
      </c>
      <c r="V9" s="99" t="s">
        <v>8</v>
      </c>
      <c r="W9" s="100">
        <v>5000</v>
      </c>
      <c r="X9" s="101">
        <v>5000</v>
      </c>
      <c r="Y9" s="102">
        <v>0</v>
      </c>
      <c r="Z9" s="87">
        <v>70000</v>
      </c>
      <c r="AA9" s="99" t="s">
        <v>8</v>
      </c>
      <c r="AB9" s="100">
        <v>10000</v>
      </c>
      <c r="AC9" s="100">
        <v>10000</v>
      </c>
      <c r="AD9" s="102">
        <v>0</v>
      </c>
      <c r="AG9" s="87">
        <v>140000</v>
      </c>
    </row>
    <row r="10" spans="2:33">
      <c r="B10" s="99" t="s">
        <v>81</v>
      </c>
      <c r="C10" s="100">
        <v>101.75</v>
      </c>
      <c r="D10" s="100">
        <v>101.75</v>
      </c>
      <c r="E10" s="102">
        <v>0</v>
      </c>
      <c r="F10" s="87">
        <v>4104</v>
      </c>
      <c r="G10" s="99" t="s">
        <v>81</v>
      </c>
      <c r="H10" s="100">
        <v>165</v>
      </c>
      <c r="I10" s="101">
        <v>165</v>
      </c>
      <c r="J10" s="102">
        <v>0</v>
      </c>
      <c r="L10" s="99" t="s">
        <v>81</v>
      </c>
      <c r="M10" s="101">
        <v>220</v>
      </c>
      <c r="N10" s="101">
        <v>220</v>
      </c>
      <c r="O10" s="102">
        <v>0</v>
      </c>
      <c r="Q10" s="99" t="s">
        <v>81</v>
      </c>
      <c r="R10" s="100">
        <v>330</v>
      </c>
      <c r="S10" s="101">
        <v>330</v>
      </c>
      <c r="T10" s="102">
        <v>0</v>
      </c>
      <c r="V10" s="99" t="s">
        <v>81</v>
      </c>
      <c r="W10" s="100">
        <v>550</v>
      </c>
      <c r="X10" s="101">
        <v>550</v>
      </c>
      <c r="Y10" s="102">
        <v>0</v>
      </c>
      <c r="Z10" s="87">
        <v>7700</v>
      </c>
      <c r="AA10" s="99" t="s">
        <v>81</v>
      </c>
      <c r="AB10" s="100">
        <v>1100</v>
      </c>
      <c r="AC10" s="100">
        <v>1100</v>
      </c>
      <c r="AD10" s="102">
        <v>0</v>
      </c>
      <c r="AF10" s="92" t="s">
        <v>82</v>
      </c>
      <c r="AG10" s="87">
        <v>15400</v>
      </c>
    </row>
    <row r="11" spans="2:33">
      <c r="B11" s="99" t="s">
        <v>83</v>
      </c>
      <c r="C11" s="100">
        <v>107</v>
      </c>
      <c r="D11" s="100">
        <v>105</v>
      </c>
      <c r="E11" s="102">
        <v>-2</v>
      </c>
      <c r="F11" s="87">
        <v>9896</v>
      </c>
      <c r="G11" s="99" t="s">
        <v>83</v>
      </c>
      <c r="H11" s="101">
        <v>265</v>
      </c>
      <c r="I11" s="101">
        <v>260</v>
      </c>
      <c r="J11" s="102">
        <v>-5</v>
      </c>
      <c r="L11" s="99" t="s">
        <v>83</v>
      </c>
      <c r="M11" s="100">
        <v>450</v>
      </c>
      <c r="N11" s="100">
        <v>441</v>
      </c>
      <c r="O11" s="102">
        <v>-9</v>
      </c>
      <c r="Q11" s="99" t="s">
        <v>83</v>
      </c>
      <c r="R11" s="101">
        <v>834</v>
      </c>
      <c r="S11" s="101">
        <v>817</v>
      </c>
      <c r="T11" s="102">
        <v>-17</v>
      </c>
      <c r="V11" s="99" t="s">
        <v>83</v>
      </c>
      <c r="W11" s="101">
        <v>1665</v>
      </c>
      <c r="X11" s="101">
        <v>1631</v>
      </c>
      <c r="Y11" s="102">
        <v>-34</v>
      </c>
      <c r="Z11" s="87">
        <v>62300</v>
      </c>
      <c r="AA11" s="99" t="s">
        <v>83</v>
      </c>
      <c r="AB11" s="100">
        <v>4030</v>
      </c>
      <c r="AC11" s="100">
        <v>3949</v>
      </c>
      <c r="AD11" s="102">
        <v>-81</v>
      </c>
      <c r="AF11" s="91">
        <v>11100</v>
      </c>
      <c r="AG11" s="87">
        <v>124600</v>
      </c>
    </row>
    <row r="12" spans="2:33">
      <c r="B12" s="99" t="s">
        <v>85</v>
      </c>
      <c r="C12" s="100">
        <v>716.25</v>
      </c>
      <c r="D12" s="100">
        <v>718.25</v>
      </c>
      <c r="E12" s="102">
        <v>2</v>
      </c>
      <c r="F12" s="87" t="e">
        <v>#REF!</v>
      </c>
      <c r="G12" s="99" t="s">
        <v>85</v>
      </c>
      <c r="H12" s="100">
        <v>1070</v>
      </c>
      <c r="I12" s="100">
        <v>1075</v>
      </c>
      <c r="J12" s="102">
        <v>5</v>
      </c>
      <c r="L12" s="99" t="s">
        <v>85</v>
      </c>
      <c r="M12" s="100">
        <v>1330</v>
      </c>
      <c r="N12" s="100">
        <v>1339</v>
      </c>
      <c r="O12" s="102">
        <v>9</v>
      </c>
      <c r="Q12" s="99" t="s">
        <v>85</v>
      </c>
      <c r="R12" s="100">
        <v>1836</v>
      </c>
      <c r="S12" s="100">
        <v>1853</v>
      </c>
      <c r="T12" s="102">
        <v>17</v>
      </c>
      <c r="V12" s="99" t="s">
        <v>85</v>
      </c>
      <c r="W12" s="100">
        <v>2785</v>
      </c>
      <c r="X12" s="100">
        <v>2819</v>
      </c>
      <c r="Y12" s="102">
        <v>34</v>
      </c>
      <c r="Z12" s="87" t="e">
        <v>#REF!</v>
      </c>
      <c r="AA12" s="99" t="s">
        <v>85</v>
      </c>
      <c r="AB12" s="100">
        <v>4870</v>
      </c>
      <c r="AC12" s="100">
        <v>4951</v>
      </c>
      <c r="AD12" s="102">
        <v>81</v>
      </c>
      <c r="AG12" s="87" t="e">
        <v>#REF!</v>
      </c>
    </row>
    <row r="13" spans="2:33">
      <c r="C13" s="81"/>
      <c r="F13" s="81"/>
      <c r="W13" s="81"/>
      <c r="Z13" s="81"/>
      <c r="AB13" s="81"/>
      <c r="AF13" s="81"/>
      <c r="AG13" s="81"/>
    </row>
    <row r="14" spans="2:33">
      <c r="C14" s="81"/>
      <c r="F14" s="81"/>
      <c r="W14" s="81"/>
      <c r="Z14" s="81"/>
      <c r="AB14" s="81"/>
      <c r="AF14" s="81"/>
      <c r="AG14" s="81"/>
    </row>
    <row r="15" spans="2:33">
      <c r="B15" s="80" t="s">
        <v>22</v>
      </c>
      <c r="C15" s="93">
        <v>2020</v>
      </c>
      <c r="D15" s="80">
        <v>2021</v>
      </c>
      <c r="E15" s="80" t="s">
        <v>127</v>
      </c>
      <c r="F15" s="88" t="s">
        <v>75</v>
      </c>
      <c r="G15" s="80" t="s">
        <v>86</v>
      </c>
      <c r="H15" s="93">
        <v>2020</v>
      </c>
      <c r="I15" s="80">
        <v>2021</v>
      </c>
      <c r="J15" s="80" t="s">
        <v>127</v>
      </c>
      <c r="L15" s="80" t="s">
        <v>87</v>
      </c>
      <c r="M15" s="93">
        <v>2020</v>
      </c>
      <c r="N15" s="80">
        <v>2021</v>
      </c>
      <c r="O15" s="80" t="s">
        <v>127</v>
      </c>
      <c r="Q15" s="80" t="s">
        <v>88</v>
      </c>
      <c r="R15" s="93">
        <v>2020</v>
      </c>
      <c r="S15" s="80">
        <v>2021</v>
      </c>
      <c r="T15" s="80" t="s">
        <v>127</v>
      </c>
      <c r="V15" s="80" t="s">
        <v>89</v>
      </c>
      <c r="W15" s="93">
        <v>2020</v>
      </c>
      <c r="X15" s="80">
        <v>2021</v>
      </c>
      <c r="Y15" s="80" t="s">
        <v>127</v>
      </c>
      <c r="Z15" s="90" t="s">
        <v>75</v>
      </c>
      <c r="AA15" s="80" t="s">
        <v>90</v>
      </c>
      <c r="AB15" s="93">
        <v>2020</v>
      </c>
      <c r="AC15" s="80">
        <v>2021</v>
      </c>
      <c r="AD15" s="80" t="s">
        <v>127</v>
      </c>
      <c r="AG15" s="87" t="s">
        <v>75</v>
      </c>
    </row>
    <row r="16" spans="2:33">
      <c r="B16" s="99" t="s">
        <v>8</v>
      </c>
      <c r="C16" s="100">
        <v>925</v>
      </c>
      <c r="D16" s="101">
        <v>925</v>
      </c>
      <c r="E16" s="102">
        <v>0</v>
      </c>
      <c r="F16" s="87">
        <v>14000</v>
      </c>
      <c r="G16" s="99" t="s">
        <v>8</v>
      </c>
      <c r="H16" s="101">
        <v>1500</v>
      </c>
      <c r="I16" s="101">
        <v>1500</v>
      </c>
      <c r="J16" s="102">
        <v>0</v>
      </c>
      <c r="L16" s="99" t="s">
        <v>8</v>
      </c>
      <c r="M16" s="101">
        <v>2000</v>
      </c>
      <c r="N16" s="101">
        <v>2000</v>
      </c>
      <c r="O16" s="102">
        <v>0</v>
      </c>
      <c r="Q16" s="99" t="s">
        <v>8</v>
      </c>
      <c r="R16" s="100">
        <v>3000</v>
      </c>
      <c r="S16" s="101">
        <v>3000</v>
      </c>
      <c r="T16" s="102">
        <v>0</v>
      </c>
      <c r="V16" s="99" t="s">
        <v>8</v>
      </c>
      <c r="W16" s="100">
        <v>5000</v>
      </c>
      <c r="X16" s="101">
        <v>5000</v>
      </c>
      <c r="Y16" s="102">
        <v>0</v>
      </c>
      <c r="Z16" s="87">
        <v>70000</v>
      </c>
      <c r="AA16" s="99" t="s">
        <v>8</v>
      </c>
      <c r="AB16" s="100">
        <v>10000</v>
      </c>
      <c r="AC16" s="100">
        <v>10000</v>
      </c>
      <c r="AD16" s="102">
        <v>0</v>
      </c>
      <c r="AG16" s="87">
        <v>140000</v>
      </c>
    </row>
    <row r="17" spans="2:35">
      <c r="B17" s="99" t="s">
        <v>81</v>
      </c>
      <c r="C17" s="100">
        <v>101.75</v>
      </c>
      <c r="D17" s="100">
        <v>101.75</v>
      </c>
      <c r="E17" s="102">
        <v>0</v>
      </c>
      <c r="F17" s="87">
        <v>4104</v>
      </c>
      <c r="G17" s="99" t="s">
        <v>81</v>
      </c>
      <c r="H17" s="101">
        <v>165</v>
      </c>
      <c r="I17" s="101">
        <v>165</v>
      </c>
      <c r="J17" s="102">
        <v>0</v>
      </c>
      <c r="L17" s="99" t="s">
        <v>81</v>
      </c>
      <c r="M17" s="101">
        <v>220</v>
      </c>
      <c r="N17" s="101">
        <v>220</v>
      </c>
      <c r="O17" s="102">
        <v>0</v>
      </c>
      <c r="Q17" s="99" t="s">
        <v>81</v>
      </c>
      <c r="R17" s="101">
        <v>330</v>
      </c>
      <c r="S17" s="101">
        <v>330</v>
      </c>
      <c r="T17" s="102">
        <v>0</v>
      </c>
      <c r="V17" s="99" t="s">
        <v>81</v>
      </c>
      <c r="W17" s="101">
        <v>550</v>
      </c>
      <c r="X17" s="101">
        <v>550</v>
      </c>
      <c r="Y17" s="102">
        <v>0</v>
      </c>
      <c r="Z17" s="87">
        <v>7700</v>
      </c>
      <c r="AA17" s="99" t="s">
        <v>81</v>
      </c>
      <c r="AB17" s="100">
        <v>1100</v>
      </c>
      <c r="AC17" s="100">
        <v>1100</v>
      </c>
      <c r="AD17" s="102">
        <v>0</v>
      </c>
      <c r="AF17" s="92" t="s">
        <v>82</v>
      </c>
      <c r="AG17" s="87">
        <v>15400</v>
      </c>
    </row>
    <row r="18" spans="2:35">
      <c r="B18" s="99" t="s">
        <v>83</v>
      </c>
      <c r="C18" s="100">
        <v>75</v>
      </c>
      <c r="D18" s="100">
        <v>74</v>
      </c>
      <c r="E18" s="102">
        <v>-1</v>
      </c>
      <c r="F18" s="87">
        <v>9896</v>
      </c>
      <c r="G18" s="99" t="s">
        <v>83</v>
      </c>
      <c r="H18" s="101">
        <v>228</v>
      </c>
      <c r="I18" s="101">
        <v>223</v>
      </c>
      <c r="J18" s="102">
        <v>-5</v>
      </c>
      <c r="L18" s="99" t="s">
        <v>83</v>
      </c>
      <c r="M18" s="100">
        <v>416</v>
      </c>
      <c r="N18" s="100">
        <v>407</v>
      </c>
      <c r="O18" s="102">
        <v>-9</v>
      </c>
      <c r="Q18" s="99" t="s">
        <v>83</v>
      </c>
      <c r="R18" s="101">
        <v>813</v>
      </c>
      <c r="S18" s="101">
        <v>796</v>
      </c>
      <c r="T18" s="102">
        <v>-17</v>
      </c>
      <c r="V18" s="99" t="s">
        <v>83</v>
      </c>
      <c r="W18" s="101">
        <v>1640</v>
      </c>
      <c r="X18" s="101">
        <v>1607</v>
      </c>
      <c r="Y18" s="102">
        <v>-33</v>
      </c>
      <c r="Z18" s="87">
        <v>62300</v>
      </c>
      <c r="AA18" s="99" t="s">
        <v>83</v>
      </c>
      <c r="AB18" s="100">
        <v>3990</v>
      </c>
      <c r="AC18" s="100">
        <v>3910</v>
      </c>
      <c r="AD18" s="102">
        <v>-80</v>
      </c>
      <c r="AF18" s="91">
        <v>11100</v>
      </c>
      <c r="AG18" s="87">
        <v>124600</v>
      </c>
    </row>
    <row r="19" spans="2:35">
      <c r="B19" s="99" t="s">
        <v>85</v>
      </c>
      <c r="C19" s="100">
        <v>748.25</v>
      </c>
      <c r="D19" s="100">
        <v>749.25</v>
      </c>
      <c r="E19" s="102">
        <v>1</v>
      </c>
      <c r="F19" s="87" t="e">
        <v>#REF!</v>
      </c>
      <c r="G19" s="99" t="s">
        <v>85</v>
      </c>
      <c r="H19" s="101">
        <v>1107</v>
      </c>
      <c r="I19" s="101">
        <v>1112</v>
      </c>
      <c r="J19" s="102">
        <v>5</v>
      </c>
      <c r="L19" s="99" t="s">
        <v>85</v>
      </c>
      <c r="M19" s="100">
        <v>1364</v>
      </c>
      <c r="N19" s="100">
        <v>1373</v>
      </c>
      <c r="O19" s="102">
        <v>9</v>
      </c>
      <c r="Q19" s="99" t="s">
        <v>85</v>
      </c>
      <c r="R19" s="101">
        <v>1857</v>
      </c>
      <c r="S19" s="101">
        <v>1874</v>
      </c>
      <c r="T19" s="102">
        <v>17</v>
      </c>
      <c r="V19" s="99" t="s">
        <v>85</v>
      </c>
      <c r="W19" s="101">
        <v>2810</v>
      </c>
      <c r="X19" s="101">
        <v>2843</v>
      </c>
      <c r="Y19" s="102">
        <v>33</v>
      </c>
      <c r="Z19" s="87" t="e">
        <v>#REF!</v>
      </c>
      <c r="AA19" s="99" t="s">
        <v>85</v>
      </c>
      <c r="AB19" s="100">
        <v>4910</v>
      </c>
      <c r="AC19" s="100">
        <v>4990</v>
      </c>
      <c r="AD19" s="102">
        <v>80</v>
      </c>
      <c r="AG19" s="87" t="e">
        <v>#REF!</v>
      </c>
      <c r="AH19" s="83"/>
      <c r="AI19" s="83"/>
    </row>
    <row r="20" spans="2:35">
      <c r="C20" s="81"/>
      <c r="F20" s="81"/>
      <c r="W20" s="81"/>
      <c r="Z20" s="81"/>
      <c r="AB20" s="81"/>
      <c r="AF20" s="81"/>
      <c r="AG20" s="81"/>
    </row>
    <row r="21" spans="2:35">
      <c r="C21" s="81"/>
      <c r="F21" s="81"/>
      <c r="W21" s="81"/>
      <c r="Z21" s="81"/>
      <c r="AB21" s="81"/>
      <c r="AF21" s="81"/>
      <c r="AG21" s="81"/>
    </row>
    <row r="22" spans="2:35">
      <c r="B22" s="80" t="s">
        <v>91</v>
      </c>
      <c r="C22" s="93">
        <v>2020</v>
      </c>
      <c r="D22" s="80">
        <v>2021</v>
      </c>
      <c r="E22" s="80" t="s">
        <v>127</v>
      </c>
      <c r="F22" s="86" t="s">
        <v>75</v>
      </c>
      <c r="G22" s="80" t="s">
        <v>103</v>
      </c>
      <c r="H22" s="93">
        <v>2020</v>
      </c>
      <c r="I22" s="80">
        <v>2021</v>
      </c>
      <c r="J22" s="80" t="s">
        <v>127</v>
      </c>
      <c r="L22" s="80" t="s">
        <v>98</v>
      </c>
      <c r="M22" s="93">
        <v>2020</v>
      </c>
      <c r="N22" s="80">
        <v>2021</v>
      </c>
      <c r="O22" s="80" t="s">
        <v>127</v>
      </c>
      <c r="Q22" s="80" t="s">
        <v>115</v>
      </c>
      <c r="R22" s="93">
        <v>2020</v>
      </c>
      <c r="S22" s="80">
        <v>2021</v>
      </c>
      <c r="T22" s="80" t="s">
        <v>127</v>
      </c>
      <c r="V22" s="80" t="s">
        <v>121</v>
      </c>
      <c r="W22" s="93">
        <v>2020</v>
      </c>
      <c r="X22" s="80">
        <v>2021</v>
      </c>
      <c r="Y22" s="80" t="s">
        <v>127</v>
      </c>
      <c r="Z22" s="89" t="s">
        <v>75</v>
      </c>
      <c r="AA22" s="80" t="s">
        <v>108</v>
      </c>
      <c r="AB22" s="93">
        <v>2020</v>
      </c>
      <c r="AC22" s="80">
        <v>2021</v>
      </c>
      <c r="AD22" s="80" t="s">
        <v>127</v>
      </c>
      <c r="AG22" s="87" t="s">
        <v>75</v>
      </c>
    </row>
    <row r="23" spans="2:35">
      <c r="B23" s="99" t="s">
        <v>8</v>
      </c>
      <c r="C23" s="100">
        <v>925</v>
      </c>
      <c r="D23" s="101">
        <v>925</v>
      </c>
      <c r="E23" s="102">
        <v>0</v>
      </c>
      <c r="F23" s="87">
        <v>14000</v>
      </c>
      <c r="G23" s="99" t="s">
        <v>8</v>
      </c>
      <c r="H23" s="101">
        <v>1500</v>
      </c>
      <c r="I23" s="101">
        <v>1500</v>
      </c>
      <c r="J23" s="102">
        <v>0</v>
      </c>
      <c r="L23" s="99" t="s">
        <v>8</v>
      </c>
      <c r="M23" s="101">
        <v>2000</v>
      </c>
      <c r="N23" s="101">
        <v>2000</v>
      </c>
      <c r="O23" s="102">
        <v>0</v>
      </c>
      <c r="Q23" s="99" t="s">
        <v>8</v>
      </c>
      <c r="R23" s="100">
        <v>3000</v>
      </c>
      <c r="S23" s="101">
        <v>3000</v>
      </c>
      <c r="T23" s="102">
        <v>0</v>
      </c>
      <c r="V23" s="99" t="s">
        <v>8</v>
      </c>
      <c r="W23" s="100">
        <v>5000</v>
      </c>
      <c r="X23" s="101">
        <v>5000</v>
      </c>
      <c r="Y23" s="102">
        <v>0</v>
      </c>
      <c r="Z23" s="87">
        <v>70000</v>
      </c>
      <c r="AA23" s="99" t="s">
        <v>8</v>
      </c>
      <c r="AB23" s="100">
        <v>10000</v>
      </c>
      <c r="AC23" s="100">
        <v>10000</v>
      </c>
      <c r="AD23" s="102">
        <v>0</v>
      </c>
      <c r="AG23" s="87">
        <v>140000</v>
      </c>
    </row>
    <row r="24" spans="2:35">
      <c r="B24" s="99" t="s">
        <v>81</v>
      </c>
      <c r="C24" s="100">
        <v>101.75</v>
      </c>
      <c r="D24" s="100">
        <v>101.75</v>
      </c>
      <c r="E24" s="102">
        <v>0</v>
      </c>
      <c r="F24" s="87">
        <v>4104</v>
      </c>
      <c r="G24" s="99" t="s">
        <v>81</v>
      </c>
      <c r="H24" s="101">
        <v>165</v>
      </c>
      <c r="I24" s="101">
        <v>165</v>
      </c>
      <c r="J24" s="102">
        <v>0</v>
      </c>
      <c r="L24" s="99" t="s">
        <v>81</v>
      </c>
      <c r="M24" s="101">
        <v>220</v>
      </c>
      <c r="N24" s="101">
        <v>220</v>
      </c>
      <c r="O24" s="102">
        <v>0</v>
      </c>
      <c r="Q24" s="99" t="s">
        <v>81</v>
      </c>
      <c r="R24" s="101">
        <v>330</v>
      </c>
      <c r="S24" s="101">
        <v>330</v>
      </c>
      <c r="T24" s="102">
        <v>0</v>
      </c>
      <c r="V24" s="99" t="s">
        <v>81</v>
      </c>
      <c r="W24" s="101">
        <v>550</v>
      </c>
      <c r="X24" s="101">
        <v>550</v>
      </c>
      <c r="Y24" s="102">
        <v>0</v>
      </c>
      <c r="Z24" s="87">
        <v>7700</v>
      </c>
      <c r="AA24" s="99" t="s">
        <v>81</v>
      </c>
      <c r="AB24" s="100">
        <v>1100</v>
      </c>
      <c r="AC24" s="100">
        <v>1100</v>
      </c>
      <c r="AD24" s="102">
        <v>0</v>
      </c>
      <c r="AF24" s="92" t="s">
        <v>82</v>
      </c>
      <c r="AG24" s="87">
        <v>15400</v>
      </c>
    </row>
    <row r="25" spans="2:35">
      <c r="B25" s="99" t="s">
        <v>83</v>
      </c>
      <c r="C25" s="100">
        <v>68</v>
      </c>
      <c r="D25" s="100">
        <v>67</v>
      </c>
      <c r="E25" s="102">
        <v>-1</v>
      </c>
      <c r="F25" s="87">
        <v>9896</v>
      </c>
      <c r="G25" s="99" t="s">
        <v>83</v>
      </c>
      <c r="H25" s="101">
        <v>178</v>
      </c>
      <c r="I25" s="101">
        <v>174</v>
      </c>
      <c r="J25" s="102">
        <v>-4</v>
      </c>
      <c r="L25" s="99" t="s">
        <v>83</v>
      </c>
      <c r="M25" s="100">
        <v>326</v>
      </c>
      <c r="N25" s="100">
        <v>319</v>
      </c>
      <c r="O25" s="102">
        <v>-7</v>
      </c>
      <c r="Q25" s="99" t="s">
        <v>83</v>
      </c>
      <c r="R25" s="101">
        <v>657</v>
      </c>
      <c r="S25" s="101">
        <v>643</v>
      </c>
      <c r="T25" s="102">
        <v>-14</v>
      </c>
      <c r="V25" s="99" t="s">
        <v>83</v>
      </c>
      <c r="W25" s="101">
        <v>1370</v>
      </c>
      <c r="X25" s="101">
        <v>1342</v>
      </c>
      <c r="Y25" s="102">
        <v>-28</v>
      </c>
      <c r="Z25" s="87">
        <v>62300</v>
      </c>
      <c r="AA25" s="99" t="s">
        <v>83</v>
      </c>
      <c r="AB25" s="100">
        <v>3380</v>
      </c>
      <c r="AC25" s="100">
        <v>3312</v>
      </c>
      <c r="AD25" s="102">
        <v>-68</v>
      </c>
      <c r="AF25" s="91">
        <v>11100</v>
      </c>
      <c r="AG25" s="87">
        <v>124600</v>
      </c>
    </row>
    <row r="26" spans="2:35">
      <c r="B26" s="99" t="s">
        <v>85</v>
      </c>
      <c r="C26" s="100">
        <v>755.25</v>
      </c>
      <c r="D26" s="100">
        <v>756.25</v>
      </c>
      <c r="E26" s="102">
        <v>1</v>
      </c>
      <c r="F26" s="87" t="e">
        <v>#REF!</v>
      </c>
      <c r="G26" s="99" t="s">
        <v>85</v>
      </c>
      <c r="H26" s="101">
        <v>1157</v>
      </c>
      <c r="I26" s="101">
        <v>1161</v>
      </c>
      <c r="J26" s="102">
        <v>4</v>
      </c>
      <c r="L26" s="99" t="s">
        <v>85</v>
      </c>
      <c r="M26" s="100">
        <v>1454</v>
      </c>
      <c r="N26" s="100">
        <v>1461</v>
      </c>
      <c r="O26" s="102">
        <v>7</v>
      </c>
      <c r="Q26" s="99" t="s">
        <v>85</v>
      </c>
      <c r="R26" s="101">
        <v>2013</v>
      </c>
      <c r="S26" s="101">
        <v>2027</v>
      </c>
      <c r="T26" s="102">
        <v>14</v>
      </c>
      <c r="U26" s="82"/>
      <c r="V26" s="99" t="s">
        <v>85</v>
      </c>
      <c r="W26" s="101">
        <v>3080</v>
      </c>
      <c r="X26" s="101">
        <v>3108</v>
      </c>
      <c r="Y26" s="102">
        <v>28</v>
      </c>
      <c r="Z26" s="87" t="e">
        <v>#REF!</v>
      </c>
      <c r="AA26" s="99" t="s">
        <v>85</v>
      </c>
      <c r="AB26" s="100">
        <v>5520</v>
      </c>
      <c r="AC26" s="100">
        <v>5588</v>
      </c>
      <c r="AD26" s="102">
        <v>68</v>
      </c>
      <c r="AG26" s="87" t="e">
        <v>#REF!</v>
      </c>
    </row>
    <row r="27" spans="2:35">
      <c r="C27" s="81"/>
      <c r="F27" s="81"/>
      <c r="W27" s="81"/>
      <c r="Z27" s="81"/>
      <c r="AB27" s="81"/>
      <c r="AF27" s="81"/>
      <c r="AG27" s="81"/>
    </row>
    <row r="28" spans="2:35">
      <c r="C28" s="81"/>
      <c r="F28" s="81"/>
      <c r="W28" s="81"/>
      <c r="Z28" s="81"/>
      <c r="AB28" s="81"/>
      <c r="AF28" s="81"/>
      <c r="AG28" s="81"/>
    </row>
    <row r="29" spans="2:35">
      <c r="B29" s="80" t="s">
        <v>92</v>
      </c>
      <c r="C29" s="93">
        <v>2020</v>
      </c>
      <c r="D29" s="80">
        <v>2021</v>
      </c>
      <c r="E29" s="80" t="s">
        <v>127</v>
      </c>
      <c r="F29" s="89" t="s">
        <v>75</v>
      </c>
      <c r="G29" s="80" t="s">
        <v>104</v>
      </c>
      <c r="H29" s="93">
        <v>2020</v>
      </c>
      <c r="I29" s="80">
        <v>2021</v>
      </c>
      <c r="J29" s="80" t="s">
        <v>127</v>
      </c>
      <c r="L29" s="80" t="s">
        <v>99</v>
      </c>
      <c r="M29" s="93">
        <v>2020</v>
      </c>
      <c r="N29" s="80">
        <v>2021</v>
      </c>
      <c r="O29" s="80" t="s">
        <v>127</v>
      </c>
      <c r="Q29" s="80" t="s">
        <v>116</v>
      </c>
      <c r="R29" s="93">
        <v>2020</v>
      </c>
      <c r="S29" s="80">
        <v>2021</v>
      </c>
      <c r="T29" s="80" t="s">
        <v>127</v>
      </c>
      <c r="V29" s="80" t="s">
        <v>122</v>
      </c>
      <c r="W29" s="93">
        <v>2020</v>
      </c>
      <c r="X29" s="80">
        <v>2021</v>
      </c>
      <c r="Y29" s="80" t="s">
        <v>127</v>
      </c>
      <c r="Z29" s="89" t="s">
        <v>75</v>
      </c>
      <c r="AA29" s="80" t="s">
        <v>109</v>
      </c>
      <c r="AB29" s="93">
        <v>2020</v>
      </c>
      <c r="AC29" s="80">
        <v>2021</v>
      </c>
      <c r="AD29" s="80" t="s">
        <v>127</v>
      </c>
      <c r="AG29" s="87" t="s">
        <v>75</v>
      </c>
    </row>
    <row r="30" spans="2:35">
      <c r="B30" s="99" t="s">
        <v>8</v>
      </c>
      <c r="C30" s="100">
        <v>925</v>
      </c>
      <c r="D30" s="101">
        <v>925</v>
      </c>
      <c r="E30" s="102">
        <v>0</v>
      </c>
      <c r="F30" s="87">
        <v>14000</v>
      </c>
      <c r="G30" s="99" t="s">
        <v>8</v>
      </c>
      <c r="H30" s="101">
        <v>1500</v>
      </c>
      <c r="I30" s="101">
        <v>1500</v>
      </c>
      <c r="J30" s="102">
        <v>0</v>
      </c>
      <c r="L30" s="99" t="s">
        <v>8</v>
      </c>
      <c r="M30" s="101">
        <v>2000</v>
      </c>
      <c r="N30" s="101">
        <v>2000</v>
      </c>
      <c r="O30" s="102">
        <v>0</v>
      </c>
      <c r="Q30" s="99" t="s">
        <v>8</v>
      </c>
      <c r="R30" s="100">
        <v>3000</v>
      </c>
      <c r="S30" s="101">
        <v>3000</v>
      </c>
      <c r="T30" s="102">
        <v>0</v>
      </c>
      <c r="V30" s="99" t="s">
        <v>8</v>
      </c>
      <c r="W30" s="100">
        <v>5000</v>
      </c>
      <c r="X30" s="101">
        <v>5000</v>
      </c>
      <c r="Y30" s="102">
        <v>0</v>
      </c>
      <c r="Z30" s="87">
        <v>70000</v>
      </c>
      <c r="AA30" s="99" t="s">
        <v>8</v>
      </c>
      <c r="AB30" s="100">
        <v>10000</v>
      </c>
      <c r="AC30" s="100">
        <v>10000</v>
      </c>
      <c r="AD30" s="102">
        <v>0</v>
      </c>
      <c r="AG30" s="87">
        <v>140000</v>
      </c>
    </row>
    <row r="31" spans="2:35">
      <c r="B31" s="99" t="s">
        <v>81</v>
      </c>
      <c r="C31" s="100">
        <v>101.75</v>
      </c>
      <c r="D31" s="100">
        <v>101.75</v>
      </c>
      <c r="E31" s="102">
        <v>0</v>
      </c>
      <c r="F31" s="87">
        <v>4104</v>
      </c>
      <c r="G31" s="99" t="s">
        <v>81</v>
      </c>
      <c r="H31" s="101">
        <v>165</v>
      </c>
      <c r="I31" s="101">
        <v>165</v>
      </c>
      <c r="J31" s="102">
        <v>0</v>
      </c>
      <c r="L31" s="99" t="s">
        <v>81</v>
      </c>
      <c r="M31" s="101">
        <v>220</v>
      </c>
      <c r="N31" s="101">
        <v>220</v>
      </c>
      <c r="O31" s="102">
        <v>0</v>
      </c>
      <c r="Q31" s="99" t="s">
        <v>81</v>
      </c>
      <c r="R31" s="101">
        <v>330</v>
      </c>
      <c r="S31" s="101">
        <v>330</v>
      </c>
      <c r="T31" s="102">
        <v>0</v>
      </c>
      <c r="V31" s="99" t="s">
        <v>81</v>
      </c>
      <c r="W31" s="101">
        <v>550</v>
      </c>
      <c r="X31" s="101">
        <v>550</v>
      </c>
      <c r="Y31" s="102">
        <v>0</v>
      </c>
      <c r="Z31" s="87">
        <v>7700</v>
      </c>
      <c r="AA31" s="99" t="s">
        <v>81</v>
      </c>
      <c r="AB31" s="100">
        <v>1100</v>
      </c>
      <c r="AC31" s="100">
        <v>1100</v>
      </c>
      <c r="AD31" s="102">
        <v>0</v>
      </c>
      <c r="AF31" s="92" t="s">
        <v>82</v>
      </c>
      <c r="AG31" s="87">
        <v>15400</v>
      </c>
    </row>
    <row r="32" spans="2:35">
      <c r="B32" s="99" t="s">
        <v>83</v>
      </c>
      <c r="C32" s="100">
        <v>43</v>
      </c>
      <c r="D32" s="100">
        <v>42</v>
      </c>
      <c r="E32" s="102">
        <v>-1</v>
      </c>
      <c r="F32" s="87">
        <v>9896</v>
      </c>
      <c r="G32" s="99" t="s">
        <v>83</v>
      </c>
      <c r="H32" s="101">
        <v>153</v>
      </c>
      <c r="I32" s="101">
        <v>149</v>
      </c>
      <c r="J32" s="102">
        <f>+I32-H32</f>
        <v>-4</v>
      </c>
      <c r="L32" s="99" t="s">
        <v>83</v>
      </c>
      <c r="M32" s="100">
        <v>292</v>
      </c>
      <c r="N32" s="100">
        <v>286</v>
      </c>
      <c r="O32" s="102">
        <v>-6</v>
      </c>
      <c r="Q32" s="99" t="s">
        <v>83</v>
      </c>
      <c r="R32" s="101">
        <v>654</v>
      </c>
      <c r="S32" s="101">
        <v>640</v>
      </c>
      <c r="T32" s="102">
        <v>-14</v>
      </c>
      <c r="V32" s="99" t="s">
        <v>83</v>
      </c>
      <c r="W32" s="101">
        <v>1340</v>
      </c>
      <c r="X32" s="101">
        <v>1313</v>
      </c>
      <c r="Y32" s="102">
        <v>-27</v>
      </c>
      <c r="Z32" s="87">
        <v>62300</v>
      </c>
      <c r="AA32" s="99" t="s">
        <v>83</v>
      </c>
      <c r="AB32" s="100">
        <v>3370</v>
      </c>
      <c r="AC32" s="100">
        <v>3302</v>
      </c>
      <c r="AD32" s="102">
        <v>-68</v>
      </c>
      <c r="AF32" s="91">
        <v>11100</v>
      </c>
      <c r="AG32" s="87">
        <v>124600</v>
      </c>
    </row>
    <row r="33" spans="2:33">
      <c r="B33" s="99" t="s">
        <v>85</v>
      </c>
      <c r="C33" s="100">
        <v>780.25</v>
      </c>
      <c r="D33" s="100">
        <v>781.25</v>
      </c>
      <c r="E33" s="102">
        <v>1</v>
      </c>
      <c r="F33" s="87" t="e">
        <v>#REF!</v>
      </c>
      <c r="G33" s="99" t="s">
        <v>85</v>
      </c>
      <c r="H33" s="101">
        <v>1182</v>
      </c>
      <c r="I33" s="101">
        <v>1335</v>
      </c>
      <c r="J33" s="102">
        <v>4</v>
      </c>
      <c r="L33" s="99" t="s">
        <v>85</v>
      </c>
      <c r="M33" s="100">
        <v>1488</v>
      </c>
      <c r="N33" s="100">
        <v>1494</v>
      </c>
      <c r="O33" s="102">
        <v>6</v>
      </c>
      <c r="Q33" s="99" t="s">
        <v>85</v>
      </c>
      <c r="R33" s="101">
        <v>2016</v>
      </c>
      <c r="S33" s="101">
        <v>2030</v>
      </c>
      <c r="T33" s="102">
        <v>14</v>
      </c>
      <c r="V33" s="99" t="s">
        <v>85</v>
      </c>
      <c r="W33" s="101">
        <v>3110</v>
      </c>
      <c r="X33" s="101">
        <v>3137</v>
      </c>
      <c r="Y33" s="102">
        <v>27</v>
      </c>
      <c r="Z33" s="87" t="e">
        <v>#REF!</v>
      </c>
      <c r="AA33" s="99" t="s">
        <v>85</v>
      </c>
      <c r="AB33" s="100">
        <v>5530</v>
      </c>
      <c r="AC33" s="100">
        <v>5598</v>
      </c>
      <c r="AD33" s="102">
        <v>68</v>
      </c>
      <c r="AG33" s="87" t="e">
        <v>#REF!</v>
      </c>
    </row>
    <row r="34" spans="2:33">
      <c r="C34" s="81"/>
      <c r="F34" s="81"/>
      <c r="W34" s="81"/>
      <c r="Z34" s="81"/>
      <c r="AB34" s="81"/>
      <c r="AF34" s="81"/>
      <c r="AG34" s="81"/>
    </row>
    <row r="35" spans="2:33">
      <c r="C35" s="81"/>
      <c r="F35" s="81"/>
      <c r="W35" s="81"/>
      <c r="Z35" s="81"/>
      <c r="AB35" s="81"/>
      <c r="AF35" s="81"/>
      <c r="AG35" s="81"/>
    </row>
    <row r="36" spans="2:33">
      <c r="B36" s="80" t="s">
        <v>93</v>
      </c>
      <c r="C36" s="93">
        <v>2020</v>
      </c>
      <c r="D36" s="80">
        <v>2021</v>
      </c>
      <c r="E36" s="80" t="s">
        <v>127</v>
      </c>
      <c r="F36" s="89" t="s">
        <v>75</v>
      </c>
      <c r="G36" s="80" t="s">
        <v>105</v>
      </c>
      <c r="H36" s="93">
        <v>2020</v>
      </c>
      <c r="I36" s="80">
        <v>2021</v>
      </c>
      <c r="J36" s="80" t="s">
        <v>127</v>
      </c>
      <c r="L36" s="80" t="s">
        <v>100</v>
      </c>
      <c r="M36" s="93">
        <v>2020</v>
      </c>
      <c r="N36" s="80">
        <v>2021</v>
      </c>
      <c r="O36" s="80" t="s">
        <v>127</v>
      </c>
      <c r="Q36" s="80" t="s">
        <v>117</v>
      </c>
      <c r="R36" s="93">
        <v>2020</v>
      </c>
      <c r="S36" s="80">
        <v>2021</v>
      </c>
      <c r="T36" s="80" t="s">
        <v>127</v>
      </c>
      <c r="V36" s="80" t="s">
        <v>123</v>
      </c>
      <c r="W36" s="93">
        <v>2020</v>
      </c>
      <c r="X36" s="80">
        <v>2021</v>
      </c>
      <c r="Y36" s="80" t="s">
        <v>127</v>
      </c>
      <c r="Z36" s="89" t="s">
        <v>75</v>
      </c>
      <c r="AA36" s="80" t="s">
        <v>110</v>
      </c>
      <c r="AB36" s="93">
        <v>2020</v>
      </c>
      <c r="AC36" s="80">
        <v>2021</v>
      </c>
      <c r="AD36" s="80" t="s">
        <v>127</v>
      </c>
      <c r="AG36" s="87" t="s">
        <v>75</v>
      </c>
    </row>
    <row r="37" spans="2:33">
      <c r="B37" s="99" t="s">
        <v>8</v>
      </c>
      <c r="C37" s="100">
        <v>925</v>
      </c>
      <c r="D37" s="101">
        <v>925</v>
      </c>
      <c r="E37" s="102">
        <v>0</v>
      </c>
      <c r="F37" s="87">
        <v>14000</v>
      </c>
      <c r="G37" s="99" t="s">
        <v>8</v>
      </c>
      <c r="H37" s="101">
        <v>1500</v>
      </c>
      <c r="I37" s="101">
        <v>1500</v>
      </c>
      <c r="J37" s="102">
        <v>0</v>
      </c>
      <c r="L37" s="99" t="s">
        <v>8</v>
      </c>
      <c r="M37" s="101">
        <v>2000</v>
      </c>
      <c r="N37" s="101">
        <v>2000</v>
      </c>
      <c r="O37" s="102">
        <v>0</v>
      </c>
      <c r="Q37" s="99" t="s">
        <v>8</v>
      </c>
      <c r="R37" s="100">
        <v>3000</v>
      </c>
      <c r="S37" s="101">
        <v>3000</v>
      </c>
      <c r="T37" s="102">
        <v>0</v>
      </c>
      <c r="V37" s="99" t="s">
        <v>8</v>
      </c>
      <c r="W37" s="100">
        <v>5000</v>
      </c>
      <c r="X37" s="101">
        <v>5000</v>
      </c>
      <c r="Y37" s="102">
        <v>0</v>
      </c>
      <c r="Z37" s="87">
        <v>70000</v>
      </c>
      <c r="AA37" s="99" t="s">
        <v>8</v>
      </c>
      <c r="AB37" s="100">
        <v>10000</v>
      </c>
      <c r="AC37" s="100">
        <v>10000</v>
      </c>
      <c r="AD37" s="102">
        <v>0</v>
      </c>
      <c r="AG37" s="87">
        <v>140000</v>
      </c>
    </row>
    <row r="38" spans="2:33">
      <c r="B38" s="99" t="s">
        <v>81</v>
      </c>
      <c r="C38" s="100">
        <v>101.75</v>
      </c>
      <c r="D38" s="100">
        <v>101.75</v>
      </c>
      <c r="E38" s="102">
        <v>0</v>
      </c>
      <c r="F38" s="87">
        <v>4104</v>
      </c>
      <c r="G38" s="99" t="s">
        <v>81</v>
      </c>
      <c r="H38" s="101">
        <v>165</v>
      </c>
      <c r="I38" s="101">
        <v>165</v>
      </c>
      <c r="J38" s="102">
        <v>0</v>
      </c>
      <c r="L38" s="99" t="s">
        <v>81</v>
      </c>
      <c r="M38" s="101">
        <v>220</v>
      </c>
      <c r="N38" s="101">
        <v>220</v>
      </c>
      <c r="O38" s="102">
        <v>0</v>
      </c>
      <c r="Q38" s="99" t="s">
        <v>81</v>
      </c>
      <c r="R38" s="101">
        <v>330</v>
      </c>
      <c r="S38" s="101">
        <v>330</v>
      </c>
      <c r="T38" s="102">
        <v>0</v>
      </c>
      <c r="V38" s="99" t="s">
        <v>81</v>
      </c>
      <c r="W38" s="101">
        <v>550</v>
      </c>
      <c r="X38" s="101">
        <v>550</v>
      </c>
      <c r="Y38" s="102">
        <v>0</v>
      </c>
      <c r="Z38" s="87">
        <v>7700</v>
      </c>
      <c r="AA38" s="99" t="s">
        <v>81</v>
      </c>
      <c r="AB38" s="100">
        <v>1100</v>
      </c>
      <c r="AC38" s="100">
        <v>1100</v>
      </c>
      <c r="AD38" s="102">
        <v>0</v>
      </c>
      <c r="AF38" s="92" t="s">
        <v>82</v>
      </c>
      <c r="AG38" s="87">
        <v>15400</v>
      </c>
    </row>
    <row r="39" spans="2:33">
      <c r="B39" s="99" t="s">
        <v>83</v>
      </c>
      <c r="C39" s="100">
        <v>27</v>
      </c>
      <c r="D39" s="100">
        <v>27</v>
      </c>
      <c r="E39" s="102">
        <v>0</v>
      </c>
      <c r="F39" s="87">
        <v>9896</v>
      </c>
      <c r="G39" s="99" t="s">
        <v>83</v>
      </c>
      <c r="H39" s="101">
        <v>124</v>
      </c>
      <c r="I39" s="101">
        <v>122</v>
      </c>
      <c r="J39" s="102">
        <f>+I39-H39</f>
        <v>-2</v>
      </c>
      <c r="L39" s="99" t="s">
        <v>83</v>
      </c>
      <c r="M39" s="100">
        <v>276</v>
      </c>
      <c r="N39" s="100">
        <v>270</v>
      </c>
      <c r="O39" s="102">
        <v>-6</v>
      </c>
      <c r="Q39" s="99" t="s">
        <v>83</v>
      </c>
      <c r="R39" s="101">
        <v>606</v>
      </c>
      <c r="S39" s="101">
        <v>593</v>
      </c>
      <c r="T39" s="102">
        <v>-13</v>
      </c>
      <c r="V39" s="99" t="s">
        <v>83</v>
      </c>
      <c r="W39" s="101">
        <v>1320</v>
      </c>
      <c r="X39" s="101">
        <v>1293</v>
      </c>
      <c r="Y39" s="102">
        <v>-27</v>
      </c>
      <c r="Z39" s="87">
        <v>62300</v>
      </c>
      <c r="AA39" s="99" t="s">
        <v>83</v>
      </c>
      <c r="AB39" s="100">
        <v>3350</v>
      </c>
      <c r="AC39" s="100">
        <v>3283</v>
      </c>
      <c r="AD39" s="102">
        <v>-67</v>
      </c>
      <c r="AF39" s="91">
        <v>11100</v>
      </c>
      <c r="AG39" s="87">
        <v>124600</v>
      </c>
    </row>
    <row r="40" spans="2:33">
      <c r="B40" s="99" t="s">
        <v>85</v>
      </c>
      <c r="C40" s="100">
        <v>796.25</v>
      </c>
      <c r="D40" s="100">
        <v>796.25</v>
      </c>
      <c r="E40" s="102">
        <v>0</v>
      </c>
      <c r="F40" s="87" t="e">
        <v>#REF!</v>
      </c>
      <c r="G40" s="99" t="s">
        <v>85</v>
      </c>
      <c r="H40" s="101">
        <v>1211</v>
      </c>
      <c r="I40" s="101">
        <f>+I37-I38-I39</f>
        <v>1213</v>
      </c>
      <c r="J40" s="102">
        <f>+I40-H40</f>
        <v>2</v>
      </c>
      <c r="L40" s="99" t="s">
        <v>85</v>
      </c>
      <c r="M40" s="100">
        <v>1504</v>
      </c>
      <c r="N40" s="100">
        <v>1510</v>
      </c>
      <c r="O40" s="102">
        <v>6</v>
      </c>
      <c r="Q40" s="99" t="s">
        <v>85</v>
      </c>
      <c r="R40" s="101">
        <v>2064</v>
      </c>
      <c r="S40" s="101">
        <v>2077</v>
      </c>
      <c r="T40" s="102">
        <v>13</v>
      </c>
      <c r="V40" s="99" t="s">
        <v>85</v>
      </c>
      <c r="W40" s="101">
        <v>3130</v>
      </c>
      <c r="X40" s="101">
        <v>3157</v>
      </c>
      <c r="Y40" s="102">
        <v>27</v>
      </c>
      <c r="Z40" s="87" t="e">
        <v>#REF!</v>
      </c>
      <c r="AA40" s="99" t="s">
        <v>85</v>
      </c>
      <c r="AB40" s="100">
        <v>5550</v>
      </c>
      <c r="AC40" s="100">
        <v>5617</v>
      </c>
      <c r="AD40" s="102">
        <v>67</v>
      </c>
      <c r="AG40" s="87" t="e">
        <v>#REF!</v>
      </c>
    </row>
    <row r="41" spans="2:33">
      <c r="C41" s="81"/>
      <c r="F41" s="81"/>
      <c r="W41" s="81"/>
      <c r="Z41" s="81"/>
      <c r="AB41" s="81"/>
      <c r="AF41" s="81"/>
      <c r="AG41" s="81"/>
    </row>
    <row r="42" spans="2:33">
      <c r="C42" s="81"/>
      <c r="F42" s="81"/>
      <c r="W42" s="81"/>
      <c r="Z42" s="81"/>
      <c r="AB42" s="81"/>
      <c r="AF42" s="81"/>
      <c r="AG42" s="81"/>
    </row>
    <row r="43" spans="2:33">
      <c r="B43" s="80" t="s">
        <v>94</v>
      </c>
      <c r="C43" s="93">
        <v>2020</v>
      </c>
      <c r="D43" s="80">
        <v>2021</v>
      </c>
      <c r="E43" s="80" t="s">
        <v>127</v>
      </c>
      <c r="F43" s="89" t="s">
        <v>75</v>
      </c>
      <c r="G43" s="80" t="s">
        <v>106</v>
      </c>
      <c r="H43" s="93">
        <v>2020</v>
      </c>
      <c r="I43" s="80">
        <v>2021</v>
      </c>
      <c r="J43" s="80" t="s">
        <v>127</v>
      </c>
      <c r="L43" s="80" t="s">
        <v>101</v>
      </c>
      <c r="M43" s="93">
        <v>2020</v>
      </c>
      <c r="N43" s="80">
        <v>2021</v>
      </c>
      <c r="O43" s="80" t="s">
        <v>127</v>
      </c>
      <c r="Q43" s="80" t="s">
        <v>118</v>
      </c>
      <c r="R43" s="93">
        <v>2020</v>
      </c>
      <c r="S43" s="80">
        <v>2021</v>
      </c>
      <c r="T43" s="80" t="s">
        <v>127</v>
      </c>
      <c r="V43" s="80" t="s">
        <v>124</v>
      </c>
      <c r="W43" s="93">
        <v>2020</v>
      </c>
      <c r="X43" s="80">
        <v>2021</v>
      </c>
      <c r="Y43" s="80" t="s">
        <v>127</v>
      </c>
      <c r="Z43" s="89" t="s">
        <v>75</v>
      </c>
      <c r="AA43" s="80" t="s">
        <v>111</v>
      </c>
      <c r="AB43" s="93">
        <v>2020</v>
      </c>
      <c r="AC43" s="80">
        <v>2021</v>
      </c>
      <c r="AD43" s="80" t="s">
        <v>127</v>
      </c>
      <c r="AG43" s="87" t="s">
        <v>75</v>
      </c>
    </row>
    <row r="44" spans="2:33">
      <c r="B44" s="99" t="s">
        <v>8</v>
      </c>
      <c r="C44" s="100">
        <v>925</v>
      </c>
      <c r="D44" s="101">
        <v>925</v>
      </c>
      <c r="E44" s="102">
        <v>0</v>
      </c>
      <c r="F44" s="87">
        <v>28000</v>
      </c>
      <c r="G44" s="99" t="s">
        <v>8</v>
      </c>
      <c r="H44" s="101">
        <v>1500</v>
      </c>
      <c r="I44" s="101">
        <v>1500</v>
      </c>
      <c r="J44" s="102">
        <v>0</v>
      </c>
      <c r="L44" s="99" t="s">
        <v>8</v>
      </c>
      <c r="M44" s="101">
        <v>2000</v>
      </c>
      <c r="N44" s="101">
        <v>2000</v>
      </c>
      <c r="O44" s="102">
        <v>0</v>
      </c>
      <c r="Q44" s="99" t="s">
        <v>8</v>
      </c>
      <c r="R44" s="100">
        <v>3000</v>
      </c>
      <c r="S44" s="101">
        <v>3000</v>
      </c>
      <c r="T44" s="102">
        <v>0</v>
      </c>
      <c r="V44" s="99" t="s">
        <v>8</v>
      </c>
      <c r="W44" s="100">
        <v>5000</v>
      </c>
      <c r="X44" s="101">
        <v>5000</v>
      </c>
      <c r="Y44" s="102">
        <v>0</v>
      </c>
      <c r="Z44" s="87">
        <v>140000</v>
      </c>
      <c r="AA44" s="99" t="s">
        <v>8</v>
      </c>
      <c r="AB44" s="100">
        <v>10000</v>
      </c>
      <c r="AC44" s="100">
        <v>10000</v>
      </c>
      <c r="AD44" s="102">
        <v>0</v>
      </c>
      <c r="AG44" s="87">
        <v>280000</v>
      </c>
    </row>
    <row r="45" spans="2:33">
      <c r="B45" s="99" t="s">
        <v>81</v>
      </c>
      <c r="C45" s="100">
        <v>101.75</v>
      </c>
      <c r="D45" s="100">
        <v>101.75</v>
      </c>
      <c r="E45" s="102">
        <v>0</v>
      </c>
      <c r="F45" s="87">
        <v>8208</v>
      </c>
      <c r="G45" s="99" t="s">
        <v>81</v>
      </c>
      <c r="H45" s="101">
        <v>165</v>
      </c>
      <c r="I45" s="101">
        <v>165</v>
      </c>
      <c r="J45" s="102">
        <v>0</v>
      </c>
      <c r="L45" s="99" t="s">
        <v>81</v>
      </c>
      <c r="M45" s="101">
        <v>220</v>
      </c>
      <c r="N45" s="101">
        <v>220</v>
      </c>
      <c r="O45" s="102">
        <v>0</v>
      </c>
      <c r="Q45" s="99" t="s">
        <v>81</v>
      </c>
      <c r="R45" s="101">
        <v>330</v>
      </c>
      <c r="S45" s="101">
        <v>330</v>
      </c>
      <c r="T45" s="102">
        <v>0</v>
      </c>
      <c r="V45" s="99" t="s">
        <v>81</v>
      </c>
      <c r="W45" s="101">
        <v>550</v>
      </c>
      <c r="X45" s="101">
        <v>550</v>
      </c>
      <c r="Y45" s="102">
        <v>0</v>
      </c>
      <c r="Z45" s="87">
        <v>15400</v>
      </c>
      <c r="AA45" s="99" t="s">
        <v>81</v>
      </c>
      <c r="AB45" s="100">
        <v>1100</v>
      </c>
      <c r="AC45" s="100">
        <v>1100</v>
      </c>
      <c r="AD45" s="102">
        <v>0</v>
      </c>
      <c r="AF45" s="92" t="s">
        <v>82</v>
      </c>
      <c r="AG45" s="87">
        <v>30800</v>
      </c>
    </row>
    <row r="46" spans="2:33">
      <c r="B46" s="99" t="s">
        <v>83</v>
      </c>
      <c r="C46" s="100">
        <v>107</v>
      </c>
      <c r="D46" s="100">
        <v>105</v>
      </c>
      <c r="E46" s="102">
        <v>-2</v>
      </c>
      <c r="F46" s="87">
        <v>19792</v>
      </c>
      <c r="G46" s="99" t="s">
        <v>83</v>
      </c>
      <c r="H46" s="101">
        <v>265</v>
      </c>
      <c r="I46" s="101">
        <v>260</v>
      </c>
      <c r="J46" s="102">
        <v>-5</v>
      </c>
      <c r="K46" s="82"/>
      <c r="L46" s="99" t="s">
        <v>83</v>
      </c>
      <c r="M46" s="100">
        <v>450</v>
      </c>
      <c r="N46" s="100">
        <v>441</v>
      </c>
      <c r="O46" s="102">
        <v>-9</v>
      </c>
      <c r="P46" s="82"/>
      <c r="Q46" s="99" t="s">
        <v>83</v>
      </c>
      <c r="R46" s="101">
        <v>834</v>
      </c>
      <c r="S46" s="101">
        <v>817</v>
      </c>
      <c r="T46" s="102">
        <v>-17</v>
      </c>
      <c r="U46" s="82"/>
      <c r="V46" s="99" t="s">
        <v>83</v>
      </c>
      <c r="W46" s="101">
        <v>1665</v>
      </c>
      <c r="X46" s="101">
        <v>1631</v>
      </c>
      <c r="Y46" s="102">
        <v>-34</v>
      </c>
      <c r="Z46" s="87">
        <v>124600</v>
      </c>
      <c r="AA46" s="99" t="s">
        <v>83</v>
      </c>
      <c r="AB46" s="100">
        <v>4030</v>
      </c>
      <c r="AC46" s="100">
        <v>3949</v>
      </c>
      <c r="AD46" s="102">
        <v>-81</v>
      </c>
      <c r="AF46" s="91">
        <v>11100</v>
      </c>
      <c r="AG46" s="87">
        <v>249200</v>
      </c>
    </row>
    <row r="47" spans="2:33">
      <c r="B47" s="99" t="s">
        <v>85</v>
      </c>
      <c r="C47" s="100">
        <v>716.25</v>
      </c>
      <c r="D47" s="100">
        <v>718.25</v>
      </c>
      <c r="E47" s="102">
        <v>2</v>
      </c>
      <c r="F47" s="87" t="e">
        <v>#REF!</v>
      </c>
      <c r="G47" s="99" t="s">
        <v>85</v>
      </c>
      <c r="H47" s="101">
        <v>1070</v>
      </c>
      <c r="I47" s="101">
        <f>+I44-I45-I46</f>
        <v>1075</v>
      </c>
      <c r="J47" s="102">
        <f>+I47-H47</f>
        <v>5</v>
      </c>
      <c r="L47" s="99" t="s">
        <v>85</v>
      </c>
      <c r="M47" s="100">
        <v>1330</v>
      </c>
      <c r="N47" s="100">
        <v>1339</v>
      </c>
      <c r="O47" s="102">
        <v>9</v>
      </c>
      <c r="Q47" s="99" t="s">
        <v>19</v>
      </c>
      <c r="R47" s="101">
        <v>1836</v>
      </c>
      <c r="S47" s="101">
        <v>1853</v>
      </c>
      <c r="T47" s="102">
        <v>17</v>
      </c>
      <c r="V47" s="99" t="s">
        <v>19</v>
      </c>
      <c r="W47" s="101">
        <v>2785</v>
      </c>
      <c r="X47" s="101">
        <v>2819</v>
      </c>
      <c r="Y47" s="102">
        <v>34</v>
      </c>
      <c r="Z47" s="87" t="e">
        <v>#REF!</v>
      </c>
      <c r="AA47" s="99" t="s">
        <v>85</v>
      </c>
      <c r="AB47" s="100">
        <v>4870</v>
      </c>
      <c r="AC47" s="100">
        <v>4951</v>
      </c>
      <c r="AD47" s="102">
        <v>81</v>
      </c>
      <c r="AG47" s="87" t="e">
        <v>#REF!</v>
      </c>
    </row>
    <row r="48" spans="2:33">
      <c r="C48" s="81"/>
      <c r="F48" s="81"/>
      <c r="W48" s="81"/>
      <c r="Z48" s="81"/>
      <c r="AB48" s="81"/>
      <c r="AF48" s="81"/>
      <c r="AG48" s="81"/>
    </row>
    <row r="49" spans="2:33">
      <c r="C49" s="81"/>
      <c r="F49" s="81"/>
      <c r="W49" s="81"/>
      <c r="Z49" s="81"/>
      <c r="AB49" s="81"/>
      <c r="AF49" s="81"/>
      <c r="AG49" s="81"/>
    </row>
    <row r="50" spans="2:33">
      <c r="B50" s="80" t="s">
        <v>95</v>
      </c>
      <c r="C50" s="93">
        <v>2020</v>
      </c>
      <c r="D50" s="80">
        <v>2021</v>
      </c>
      <c r="E50" s="80" t="s">
        <v>127</v>
      </c>
      <c r="F50" s="89" t="s">
        <v>75</v>
      </c>
      <c r="G50" s="80" t="s">
        <v>107</v>
      </c>
      <c r="H50" s="93">
        <v>2020</v>
      </c>
      <c r="I50" s="80">
        <v>2021</v>
      </c>
      <c r="J50" s="80" t="s">
        <v>127</v>
      </c>
      <c r="L50" s="80" t="s">
        <v>102</v>
      </c>
      <c r="M50" s="93">
        <v>2020</v>
      </c>
      <c r="N50" s="80">
        <v>2021</v>
      </c>
      <c r="O50" s="80" t="s">
        <v>127</v>
      </c>
      <c r="Q50" s="80" t="s">
        <v>119</v>
      </c>
      <c r="R50" s="93">
        <v>2020</v>
      </c>
      <c r="S50" s="80">
        <v>2021</v>
      </c>
      <c r="T50" s="80" t="s">
        <v>127</v>
      </c>
      <c r="V50" s="80" t="s">
        <v>125</v>
      </c>
      <c r="W50" s="93">
        <v>2020</v>
      </c>
      <c r="X50" s="80">
        <v>2021</v>
      </c>
      <c r="Y50" s="80" t="s">
        <v>127</v>
      </c>
      <c r="Z50" s="89" t="s">
        <v>75</v>
      </c>
      <c r="AA50" s="80" t="s">
        <v>112</v>
      </c>
      <c r="AB50" s="93">
        <v>2020</v>
      </c>
      <c r="AC50" s="80">
        <v>2021</v>
      </c>
      <c r="AD50" s="80" t="s">
        <v>127</v>
      </c>
      <c r="AG50" s="87" t="s">
        <v>75</v>
      </c>
    </row>
    <row r="51" spans="2:33">
      <c r="B51" s="99" t="s">
        <v>8</v>
      </c>
      <c r="C51" s="100">
        <v>925</v>
      </c>
      <c r="D51" s="101">
        <v>925</v>
      </c>
      <c r="E51" s="102">
        <v>0</v>
      </c>
      <c r="F51" s="87">
        <v>28000</v>
      </c>
      <c r="G51" s="99" t="s">
        <v>8</v>
      </c>
      <c r="H51" s="101">
        <v>1500</v>
      </c>
      <c r="I51" s="101">
        <v>1500</v>
      </c>
      <c r="J51" s="102">
        <v>0</v>
      </c>
      <c r="L51" s="99" t="s">
        <v>8</v>
      </c>
      <c r="M51" s="101">
        <v>2000</v>
      </c>
      <c r="N51" s="101">
        <v>2000</v>
      </c>
      <c r="O51" s="102">
        <v>0</v>
      </c>
      <c r="Q51" s="99" t="s">
        <v>8</v>
      </c>
      <c r="R51" s="100">
        <v>3000</v>
      </c>
      <c r="S51" s="101">
        <v>3000</v>
      </c>
      <c r="T51" s="102">
        <v>0</v>
      </c>
      <c r="V51" s="99" t="s">
        <v>8</v>
      </c>
      <c r="W51" s="100">
        <v>5000</v>
      </c>
      <c r="X51" s="101">
        <v>5000</v>
      </c>
      <c r="Y51" s="102">
        <v>0</v>
      </c>
      <c r="Z51" s="87">
        <v>140000</v>
      </c>
      <c r="AA51" s="99" t="s">
        <v>8</v>
      </c>
      <c r="AB51" s="100">
        <v>10000</v>
      </c>
      <c r="AC51" s="100">
        <v>10000</v>
      </c>
      <c r="AD51" s="102">
        <v>0</v>
      </c>
      <c r="AG51" s="87">
        <v>280000</v>
      </c>
    </row>
    <row r="52" spans="2:33">
      <c r="B52" s="99" t="s">
        <v>81</v>
      </c>
      <c r="C52" s="100">
        <v>101.75</v>
      </c>
      <c r="D52" s="100">
        <v>101.75</v>
      </c>
      <c r="E52" s="102">
        <v>0</v>
      </c>
      <c r="F52" s="87">
        <v>8208</v>
      </c>
      <c r="G52" s="99" t="s">
        <v>81</v>
      </c>
      <c r="H52" s="101">
        <v>165</v>
      </c>
      <c r="I52" s="101">
        <v>165</v>
      </c>
      <c r="J52" s="102">
        <v>0</v>
      </c>
      <c r="L52" s="99" t="s">
        <v>81</v>
      </c>
      <c r="M52" s="101">
        <v>220</v>
      </c>
      <c r="N52" s="101">
        <v>220</v>
      </c>
      <c r="O52" s="102">
        <v>0</v>
      </c>
      <c r="Q52" s="99" t="s">
        <v>81</v>
      </c>
      <c r="R52" s="101">
        <v>330</v>
      </c>
      <c r="S52" s="101">
        <v>330</v>
      </c>
      <c r="T52" s="102">
        <v>0</v>
      </c>
      <c r="V52" s="99" t="s">
        <v>81</v>
      </c>
      <c r="W52" s="101">
        <v>550</v>
      </c>
      <c r="X52" s="101">
        <v>550</v>
      </c>
      <c r="Y52" s="102">
        <v>0</v>
      </c>
      <c r="Z52" s="87">
        <v>15400</v>
      </c>
      <c r="AA52" s="99" t="s">
        <v>81</v>
      </c>
      <c r="AB52" s="100">
        <v>1100</v>
      </c>
      <c r="AC52" s="100">
        <v>1100</v>
      </c>
      <c r="AD52" s="102">
        <v>0</v>
      </c>
      <c r="AF52" s="92" t="s">
        <v>82</v>
      </c>
      <c r="AG52" s="87">
        <v>30800</v>
      </c>
    </row>
    <row r="53" spans="2:33">
      <c r="B53" s="99" t="s">
        <v>83</v>
      </c>
      <c r="C53" s="100">
        <v>82</v>
      </c>
      <c r="D53" s="100">
        <v>80</v>
      </c>
      <c r="E53" s="102">
        <v>-2</v>
      </c>
      <c r="F53" s="87">
        <v>19792</v>
      </c>
      <c r="G53" s="99" t="s">
        <v>83</v>
      </c>
      <c r="H53" s="101">
        <v>253</v>
      </c>
      <c r="I53" s="101">
        <v>248</v>
      </c>
      <c r="J53" s="102">
        <f>+I53-H53</f>
        <v>-5</v>
      </c>
      <c r="L53" s="99" t="s">
        <v>83</v>
      </c>
      <c r="M53" s="100">
        <v>440</v>
      </c>
      <c r="N53" s="100">
        <v>431</v>
      </c>
      <c r="O53" s="102">
        <v>-9</v>
      </c>
      <c r="Q53" s="99" t="s">
        <v>83</v>
      </c>
      <c r="R53" s="101">
        <v>819</v>
      </c>
      <c r="S53" s="101">
        <v>802</v>
      </c>
      <c r="T53" s="102">
        <v>-17</v>
      </c>
      <c r="V53" s="99" t="s">
        <v>83</v>
      </c>
      <c r="W53" s="101">
        <v>1650</v>
      </c>
      <c r="X53" s="101">
        <v>1617</v>
      </c>
      <c r="Y53" s="102">
        <v>-33</v>
      </c>
      <c r="Z53" s="87">
        <v>124600</v>
      </c>
      <c r="AA53" s="99" t="s">
        <v>83</v>
      </c>
      <c r="AB53" s="100">
        <v>4010</v>
      </c>
      <c r="AC53" s="100">
        <v>3929</v>
      </c>
      <c r="AD53" s="102">
        <v>-81</v>
      </c>
      <c r="AF53" s="91">
        <v>11100</v>
      </c>
      <c r="AG53" s="87">
        <v>249200</v>
      </c>
    </row>
    <row r="54" spans="2:33">
      <c r="B54" s="99" t="s">
        <v>85</v>
      </c>
      <c r="C54" s="100">
        <v>741.25</v>
      </c>
      <c r="D54" s="100">
        <v>743.25</v>
      </c>
      <c r="E54" s="102">
        <v>2</v>
      </c>
      <c r="F54" s="87" t="e">
        <v>#REF!</v>
      </c>
      <c r="G54" s="99" t="s">
        <v>85</v>
      </c>
      <c r="H54" s="101">
        <v>1082</v>
      </c>
      <c r="I54" s="101">
        <f>+I51-I52-I53</f>
        <v>1087</v>
      </c>
      <c r="J54" s="102">
        <f>+I54-H54</f>
        <v>5</v>
      </c>
      <c r="L54" s="99" t="s">
        <v>85</v>
      </c>
      <c r="M54" s="100">
        <v>1340</v>
      </c>
      <c r="N54" s="100">
        <v>1349</v>
      </c>
      <c r="O54" s="102">
        <v>9</v>
      </c>
      <c r="Q54" s="99" t="s">
        <v>19</v>
      </c>
      <c r="R54" s="101">
        <v>1851</v>
      </c>
      <c r="S54" s="101">
        <v>1868</v>
      </c>
      <c r="T54" s="102">
        <v>17</v>
      </c>
      <c r="V54" s="99" t="s">
        <v>19</v>
      </c>
      <c r="W54" s="101">
        <v>2800</v>
      </c>
      <c r="X54" s="101">
        <v>2833</v>
      </c>
      <c r="Y54" s="102">
        <v>33</v>
      </c>
      <c r="Z54" s="87" t="e">
        <v>#REF!</v>
      </c>
      <c r="AA54" s="99" t="s">
        <v>85</v>
      </c>
      <c r="AB54" s="100">
        <v>4890</v>
      </c>
      <c r="AC54" s="100">
        <v>4971</v>
      </c>
      <c r="AD54" s="102">
        <v>81</v>
      </c>
      <c r="AG54" s="87" t="e">
        <v>#REF!</v>
      </c>
    </row>
    <row r="55" spans="2:33">
      <c r="C55" s="81"/>
      <c r="F55" s="81"/>
      <c r="W55" s="81"/>
      <c r="Z55" s="81"/>
      <c r="AB55" s="81"/>
      <c r="AF55" s="81"/>
      <c r="AG55" s="81"/>
    </row>
    <row r="56" spans="2:33">
      <c r="C56" s="81"/>
      <c r="F56" s="81"/>
      <c r="W56" s="81"/>
      <c r="Z56" s="81"/>
      <c r="AB56" s="81"/>
      <c r="AF56" s="81"/>
      <c r="AG56" s="81"/>
    </row>
    <row r="57" spans="2:33">
      <c r="B57" s="80" t="s">
        <v>96</v>
      </c>
      <c r="C57" s="93">
        <v>2020</v>
      </c>
      <c r="D57" s="80">
        <v>2021</v>
      </c>
      <c r="E57" s="80" t="s">
        <v>127</v>
      </c>
      <c r="F57" s="89" t="s">
        <v>75</v>
      </c>
      <c r="G57" s="80" t="s">
        <v>97</v>
      </c>
      <c r="H57" s="93">
        <v>2020</v>
      </c>
      <c r="I57" s="80">
        <v>2021</v>
      </c>
      <c r="J57" s="80" t="s">
        <v>127</v>
      </c>
      <c r="L57" s="80" t="s">
        <v>114</v>
      </c>
      <c r="M57" s="93">
        <v>2020</v>
      </c>
      <c r="N57" s="80">
        <v>2021</v>
      </c>
      <c r="O57" s="80" t="s">
        <v>127</v>
      </c>
      <c r="Q57" s="80" t="s">
        <v>120</v>
      </c>
      <c r="R57" s="93">
        <v>2020</v>
      </c>
      <c r="S57" s="80">
        <v>2021</v>
      </c>
      <c r="T57" s="80" t="s">
        <v>127</v>
      </c>
      <c r="V57" s="80" t="s">
        <v>126</v>
      </c>
      <c r="W57" s="93">
        <v>2020</v>
      </c>
      <c r="X57" s="80">
        <v>2021</v>
      </c>
      <c r="Y57" s="80" t="s">
        <v>127</v>
      </c>
      <c r="Z57" s="89" t="s">
        <v>75</v>
      </c>
      <c r="AA57" s="80" t="s">
        <v>113</v>
      </c>
      <c r="AB57" s="93">
        <v>2020</v>
      </c>
      <c r="AC57" s="80">
        <v>2021</v>
      </c>
      <c r="AD57" s="80" t="s">
        <v>127</v>
      </c>
      <c r="AG57" s="87" t="s">
        <v>75</v>
      </c>
    </row>
    <row r="58" spans="2:33">
      <c r="B58" s="99" t="s">
        <v>8</v>
      </c>
      <c r="C58" s="100">
        <v>925</v>
      </c>
      <c r="D58" s="101">
        <v>925</v>
      </c>
      <c r="E58" s="102">
        <v>0</v>
      </c>
      <c r="F58" s="87">
        <v>28000</v>
      </c>
      <c r="G58" s="99" t="s">
        <v>8</v>
      </c>
      <c r="H58" s="101">
        <v>1500</v>
      </c>
      <c r="I58" s="101">
        <v>1500</v>
      </c>
      <c r="J58" s="102">
        <v>0</v>
      </c>
      <c r="L58" s="99" t="s">
        <v>8</v>
      </c>
      <c r="M58" s="101">
        <v>2000</v>
      </c>
      <c r="N58" s="101">
        <v>2000</v>
      </c>
      <c r="O58" s="102">
        <v>0</v>
      </c>
      <c r="Q58" s="99" t="s">
        <v>8</v>
      </c>
      <c r="R58" s="100">
        <v>3000</v>
      </c>
      <c r="S58" s="101">
        <v>3000</v>
      </c>
      <c r="T58" s="102">
        <v>0</v>
      </c>
      <c r="V58" s="99" t="s">
        <v>8</v>
      </c>
      <c r="W58" s="100">
        <v>5000</v>
      </c>
      <c r="X58" s="101">
        <v>5000</v>
      </c>
      <c r="Y58" s="102">
        <v>0</v>
      </c>
      <c r="Z58" s="87">
        <v>140000</v>
      </c>
      <c r="AA58" s="99" t="s">
        <v>8</v>
      </c>
      <c r="AB58" s="100">
        <v>10000</v>
      </c>
      <c r="AC58" s="100">
        <v>10000</v>
      </c>
      <c r="AD58" s="102">
        <v>0</v>
      </c>
      <c r="AG58" s="87">
        <v>280000</v>
      </c>
    </row>
    <row r="59" spans="2:33">
      <c r="B59" s="99" t="s">
        <v>81</v>
      </c>
      <c r="C59" s="100">
        <v>101.75</v>
      </c>
      <c r="D59" s="100">
        <v>101.75</v>
      </c>
      <c r="E59" s="102">
        <v>0</v>
      </c>
      <c r="F59" s="87">
        <v>8208</v>
      </c>
      <c r="G59" s="99" t="s">
        <v>10</v>
      </c>
      <c r="H59" s="101">
        <v>165</v>
      </c>
      <c r="I59" s="101">
        <v>165</v>
      </c>
      <c r="J59" s="102">
        <v>0</v>
      </c>
      <c r="L59" s="99" t="s">
        <v>81</v>
      </c>
      <c r="M59" s="101">
        <v>220</v>
      </c>
      <c r="N59" s="101">
        <v>220</v>
      </c>
      <c r="O59" s="102">
        <v>0</v>
      </c>
      <c r="Q59" s="99" t="s">
        <v>81</v>
      </c>
      <c r="R59" s="101">
        <v>330</v>
      </c>
      <c r="S59" s="101">
        <v>330</v>
      </c>
      <c r="T59" s="102">
        <v>0</v>
      </c>
      <c r="V59" s="99" t="s">
        <v>81</v>
      </c>
      <c r="W59" s="101">
        <v>550</v>
      </c>
      <c r="X59" s="101">
        <v>550</v>
      </c>
      <c r="Y59" s="102">
        <v>0</v>
      </c>
      <c r="Z59" s="87">
        <v>15400</v>
      </c>
      <c r="AA59" s="99" t="s">
        <v>81</v>
      </c>
      <c r="AB59" s="100">
        <v>1100</v>
      </c>
      <c r="AC59" s="100">
        <v>1100</v>
      </c>
      <c r="AD59" s="102">
        <v>0</v>
      </c>
      <c r="AF59" s="92" t="s">
        <v>82</v>
      </c>
      <c r="AG59" s="87">
        <v>30800</v>
      </c>
    </row>
    <row r="60" spans="2:33">
      <c r="B60" s="99" t="s">
        <v>83</v>
      </c>
      <c r="C60" s="100">
        <v>74</v>
      </c>
      <c r="D60" s="100">
        <v>73</v>
      </c>
      <c r="E60" s="102">
        <v>-1</v>
      </c>
      <c r="F60" s="87">
        <v>19792</v>
      </c>
      <c r="G60" s="99" t="s">
        <v>84</v>
      </c>
      <c r="H60" s="101">
        <v>225</v>
      </c>
      <c r="I60" s="101">
        <v>220</v>
      </c>
      <c r="J60" s="102">
        <f>+I60-H60</f>
        <v>-5</v>
      </c>
      <c r="L60" s="99" t="s">
        <v>83</v>
      </c>
      <c r="M60" s="100">
        <v>404</v>
      </c>
      <c r="N60" s="100">
        <v>395</v>
      </c>
      <c r="O60" s="102">
        <v>-9</v>
      </c>
      <c r="Q60" s="99" t="s">
        <v>83</v>
      </c>
      <c r="R60" s="101">
        <v>795</v>
      </c>
      <c r="S60" s="101">
        <v>779</v>
      </c>
      <c r="T60" s="102">
        <v>-16</v>
      </c>
      <c r="V60" s="99" t="s">
        <v>83</v>
      </c>
      <c r="W60" s="101">
        <v>1630</v>
      </c>
      <c r="X60" s="101">
        <v>1597</v>
      </c>
      <c r="Y60" s="102">
        <v>-33</v>
      </c>
      <c r="Z60" s="87">
        <v>124600</v>
      </c>
      <c r="AA60" s="99" t="s">
        <v>83</v>
      </c>
      <c r="AB60" s="100">
        <v>3990</v>
      </c>
      <c r="AC60" s="100">
        <v>3910</v>
      </c>
      <c r="AD60" s="102">
        <v>-80</v>
      </c>
      <c r="AF60" s="91">
        <v>11100</v>
      </c>
      <c r="AG60" s="87">
        <v>249200</v>
      </c>
    </row>
    <row r="61" spans="2:33">
      <c r="B61" s="99" t="s">
        <v>85</v>
      </c>
      <c r="C61" s="100">
        <v>749.25</v>
      </c>
      <c r="D61" s="100">
        <v>750.25</v>
      </c>
      <c r="E61" s="102">
        <v>1</v>
      </c>
      <c r="F61" s="87" t="e">
        <v>#REF!</v>
      </c>
      <c r="G61" s="99" t="s">
        <v>85</v>
      </c>
      <c r="H61" s="101">
        <v>1110</v>
      </c>
      <c r="I61" s="101">
        <f>+I58-I59-I60</f>
        <v>1115</v>
      </c>
      <c r="J61" s="102">
        <f>+I61-H61</f>
        <v>5</v>
      </c>
      <c r="L61" s="99" t="s">
        <v>85</v>
      </c>
      <c r="M61" s="100">
        <v>1376</v>
      </c>
      <c r="N61" s="100">
        <v>1385</v>
      </c>
      <c r="O61" s="102">
        <v>9</v>
      </c>
      <c r="Q61" s="99" t="s">
        <v>19</v>
      </c>
      <c r="R61" s="101">
        <v>1875</v>
      </c>
      <c r="S61" s="101">
        <v>1891</v>
      </c>
      <c r="T61" s="102">
        <v>16</v>
      </c>
      <c r="V61" s="99" t="s">
        <v>19</v>
      </c>
      <c r="W61" s="101">
        <v>2820</v>
      </c>
      <c r="X61" s="101">
        <v>2853</v>
      </c>
      <c r="Y61" s="102">
        <v>33</v>
      </c>
      <c r="Z61" s="87" t="e">
        <v>#REF!</v>
      </c>
      <c r="AA61" s="99" t="s">
        <v>85</v>
      </c>
      <c r="AB61" s="100">
        <v>4910</v>
      </c>
      <c r="AC61" s="100">
        <v>4990</v>
      </c>
      <c r="AD61" s="102">
        <v>80</v>
      </c>
      <c r="AG61" s="87" t="e">
        <v>#REF!</v>
      </c>
    </row>
    <row r="62" spans="2:33">
      <c r="C62" s="81"/>
      <c r="F62" s="81"/>
      <c r="W62" s="81"/>
      <c r="Z62" s="81"/>
      <c r="AB62" s="81"/>
      <c r="AF62" s="81"/>
      <c r="AG62" s="81"/>
    </row>
    <row r="63" spans="2:33">
      <c r="C63" s="81"/>
      <c r="F63" s="81"/>
      <c r="W63" s="81"/>
      <c r="Z63" s="81"/>
      <c r="AB63" s="81"/>
      <c r="AF63" s="81"/>
      <c r="AG63" s="81"/>
    </row>
    <row r="66" spans="2:2" ht="71.45" customHeight="1"/>
    <row r="67" spans="2:2" ht="33" customHeight="1"/>
    <row r="68" spans="2:2" ht="48.6" customHeight="1"/>
    <row r="69" spans="2:2" ht="51.6" customHeight="1"/>
    <row r="70" spans="2:2" ht="48.6" customHeight="1"/>
    <row r="71" spans="2:2">
      <c r="B71" s="84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A p J I U c y y 5 L O o A A A A + A A A A B I A H A B D b 2 5 m a W c v U G F j a 2 F n Z S 5 4 b W w g o h g A K K A U A A A A A A A A A A A A A A A A A A A A A A A A A A A A h Y 9 B D o I w F E S v Q r q n L R X U m E 9 Z u J W E R G P c N l C h E Q q h x X I 3 F x 7 J K 0 i i q D u X M 3 m T v H n c 7 p C M T e 1 d Z W 9 U q 2 M U Y I o 8 q f O 2 U L q M 0 W D P / h o l H D K R X 0 Q p v Q n W Z j M a F a P K 2 m 5 D i H M O u w V u + 5 I w S g N y S n f 7 v J K N 8 J U 2 V u h c o s + q + L 9 C H I 4 v G c 7 w i u E o i p Y 4 D A M g c w 2 p 0 l + E T c a Y A v k p Y T v U d u g l 7 6 y f H Y D M E c j 7 B X 8 C U E s D B B Q A A g A I A A K S S F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C k k h R K I p H u A 4 A A A A R A A A A E w A c A E Z v c m 1 1 b G F z L 1 N l Y 3 R p b 2 4 x L m 0 g o h g A K K A U A A A A A A A A A A A A A A A A A A A A A A A A A A A A K 0 5 N L s n M z 1 M I h t C G 1 g B Q S w E C L Q A U A A I A C A A C k k h R z L L k s 6 g A A A D 4 A A A A E g A A A A A A A A A A A A A A A A A A A A A A Q 2 9 u Z m l n L 1 B h Y 2 t h Z 2 U u e G 1 s U E s B A i 0 A F A A C A A g A A p J I U Q / K 6 a u k A A A A 6 Q A A A B M A A A A A A A A A A A A A A A A A 9 A A A A F t D b 2 5 0 Z W 5 0 X 1 R 5 c G V z X S 5 4 b W x Q S w E C L Q A U A A I A C A A C k k h R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f e t u x O c a C E 6 5 r E / h G 7 0 m r Q A A A A A C A A A A A A A D Z g A A w A A A A B A A A A B O 9 g k f B 7 E Y 2 k B m c 9 w r Y 4 l q A A A A A A S A A A C g A A A A E A A A A E q a Y B / U c Z f U U 0 K c j v / y 9 e 1 Q A A A A 8 J 8 / 5 u Z k a X 3 4 F X u R y v a u U E Z U k 2 d I T 9 1 i F S D L U T C A N a E j m c 2 x h r h O C a N 2 v L 4 N 6 0 I i V 7 H h H G M d M e t 8 x H N 4 U m m u L d P 9 z o R n 7 i 2 j F D O 7 a x 2 G E G o U A A A A p Z / X Z N e m R A u z K S L 2 j D X d G L O + 3 i E = < / D a t a M a s h u p > 
</file>

<file path=customXml/itemProps1.xml><?xml version="1.0" encoding="utf-8"?>
<ds:datastoreItem xmlns:ds="http://schemas.openxmlformats.org/officeDocument/2006/customXml" ds:itemID="{75FAA7F2-E96C-40FF-8F60-E0D6B7E5FE0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Rendto do Trab_750 e 925 e 1000</vt:lpstr>
      <vt:lpstr>Cálculos</vt:lpstr>
      <vt:lpstr>'Rendto do Trab_750 e 925 e 1000'!Área_de_Impressão</vt:lpstr>
    </vt:vector>
  </TitlesOfParts>
  <Manager/>
  <Company>Ernst &amp; Young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Nitusha Anup</dc:creator>
  <cp:keywords/>
  <dc:description/>
  <cp:lastModifiedBy>Joao Malta</cp:lastModifiedBy>
  <cp:revision/>
  <dcterms:created xsi:type="dcterms:W3CDTF">2017-10-10T09:45:15Z</dcterms:created>
  <dcterms:modified xsi:type="dcterms:W3CDTF">2020-10-13T12:44:02Z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